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424"/>
  <workbookPr/>
  <xr:revisionPtr revIDLastSave="0" documentId="11_0837BF99752121DF4C6DE7ADBC3C420721AD808C" xr6:coauthVersionLast="47" xr6:coauthVersionMax="47" xr10:uidLastSave="{00000000-0000-0000-0000-000000000000}"/>
  <bookViews>
    <workbookView xWindow="0" yWindow="0" windowWidth="0" windowHeight="0" xr2:uid="{00000000-000D-0000-FFFF-FFFF00000000}"/>
  </bookViews>
  <sheets>
    <sheet name="Summary" sheetId="1" r:id="rId1"/>
    <sheet name="A" sheetId="2" r:id="rId2"/>
    <sheet name="B" sheetId="3" r:id="rId3"/>
    <sheet name="A-2" sheetId="4" state="hidden" r:id="rId4"/>
    <sheet name="A-3" sheetId="5" state="hidden" r:id="rId5"/>
    <sheet name="A-4" sheetId="6" state="hidden" r:id="rId6"/>
    <sheet name="A-5" sheetId="7" state="hidden" r:id="rId7"/>
    <sheet name="A-6" sheetId="8" state="hidden" r:id="rId8"/>
    <sheet name="A-7" sheetId="9" state="hidden" r:id="rId9"/>
    <sheet name="A-8" sheetId="10" state="hidden" r:id="rId10"/>
    <sheet name="A-9" sheetId="11" state="hidden" r:id="rId11"/>
    <sheet name="A-10" sheetId="12" state="hidden" r:id="rId12"/>
    <sheet name="A-11" sheetId="13" state="hidden" r:id="rId13"/>
    <sheet name="A-12" sheetId="14" state="hidden" r:id="rId14"/>
    <sheet name="A-13" sheetId="15" state="hidden" r:id="rId15"/>
    <sheet name="A-14" sheetId="16" state="hidden" r:id="rId16"/>
    <sheet name="A-15" sheetId="17" state="hidden" r:id="rId17"/>
    <sheet name="A-16" sheetId="18" state="hidden" r:id="rId18"/>
    <sheet name="A-17" sheetId="19" state="hidden" r:id="rId19"/>
    <sheet name="A-18" sheetId="20" state="hidden" r:id="rId20"/>
    <sheet name="A-19" sheetId="21" state="hidden" r:id="rId21"/>
    <sheet name="Sumary" sheetId="22" state="hidden" r:id="rId22"/>
    <sheet name="B-1" sheetId="23" state="hidden" r:id="rId23"/>
    <sheet name="B-2" sheetId="24" state="hidden" r:id="rId24"/>
    <sheet name="B-3" sheetId="25" state="hidden" r:id="rId25"/>
    <sheet name="B-4" sheetId="26" state="hidden" r:id="rId26"/>
    <sheet name="B-5" sheetId="27" state="hidden" r:id="rId27"/>
    <sheet name="B-6" sheetId="28" state="hidden" r:id="rId28"/>
    <sheet name="B-7" sheetId="29" state="hidden" r:id="rId29"/>
    <sheet name="B-8" sheetId="30" state="hidden" r:id="rId30"/>
    <sheet name="B-9" sheetId="31" state="hidden" r:id="rId31"/>
    <sheet name="B-10" sheetId="32" state="hidden" r:id="rId32"/>
    <sheet name="B-11" sheetId="33" state="hidden" r:id="rId33"/>
    <sheet name="B-12" sheetId="34" state="hidden" r:id="rId34"/>
    <sheet name="B-13" sheetId="35" state="hidden" r:id="rId35"/>
    <sheet name="B-14" sheetId="36" state="hidden" r:id="rId36"/>
    <sheet name="B-15" sheetId="37" state="hidden" r:id="rId37"/>
    <sheet name="B-16" sheetId="38" state="hidden" r:id="rId38"/>
    <sheet name="B-17" sheetId="39" state="hidden" r:id="rId39"/>
    <sheet name="B-18" sheetId="40" state="hidden" r:id="rId40"/>
    <sheet name="B-19" sheetId="41" state="hidden" r:id="rId41"/>
    <sheet name="B-20" sheetId="42" state="hidden" r:id="rId42"/>
    <sheet name="B-21" sheetId="43" state="hidden" r:id="rId43"/>
    <sheet name="B-22" sheetId="44" state="hidden" r:id="rId44"/>
    <sheet name="B-23" sheetId="45" state="hidden" r:id="rId45"/>
    <sheet name="B-24" sheetId="46" state="hidden" r:id="rId46"/>
    <sheet name="B-25" sheetId="47" state="hidden" r:id="rId47"/>
    <sheet name="B-26" sheetId="48" state="hidden" r:id="rId48"/>
    <sheet name="B-27" sheetId="49" state="hidden" r:id="rId49"/>
    <sheet name="B-28" sheetId="50" state="hidden" r:id="rId50"/>
    <sheet name="B-29" sheetId="51" state="hidden" r:id="rId51"/>
    <sheet name="B-30" sheetId="52" state="hidden" r:id="rId52"/>
    <sheet name="B-31" sheetId="53" state="hidden" r:id="rId53"/>
    <sheet name="B-32" sheetId="54" state="hidden" r:id="rId54"/>
    <sheet name="B-33" sheetId="55" state="hidden" r:id="rId55"/>
    <sheet name="B-34" sheetId="56" state="hidden" r:id="rId56"/>
    <sheet name="B-35" sheetId="57" state="hidden" r:id="rId57"/>
    <sheet name="B-36" sheetId="58" state="hidden" r:id="rId58"/>
    <sheet name="B-37" sheetId="59" state="hidden" r:id="rId59"/>
    <sheet name="B-38" sheetId="60" state="hidden" r:id="rId60"/>
    <sheet name="B-39" sheetId="61" state="hidden" r:id="rId61"/>
    <sheet name="B-40" sheetId="62" state="hidden" r:id="rId62"/>
    <sheet name="B-41" sheetId="63" state="hidden" r:id="rId63"/>
    <sheet name="B-42" sheetId="64" state="hidden" r:id="rId64"/>
  </sheet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1">
      <go:sheetsCustomData xmlns:go="http://customooxmlschemas.google.com/" r:id="rId68" roundtripDataSignature="AMtx7mgsM35dPlqp2RpSDODmAme/KJAUGg=="/>
    </ext>
  </extLst>
</workbook>
</file>

<file path=xl/calcChain.xml><?xml version="1.0" encoding="utf-8"?>
<calcChain xmlns="http://schemas.openxmlformats.org/spreadsheetml/2006/main">
  <c r="F11" i="21" l="1"/>
  <c r="E11" i="21"/>
  <c r="D11" i="21"/>
  <c r="F10" i="21"/>
  <c r="E10" i="21"/>
  <c r="D10" i="21"/>
  <c r="F9" i="21"/>
  <c r="E9" i="21"/>
  <c r="D9" i="21"/>
  <c r="F8" i="21"/>
  <c r="E8" i="21"/>
  <c r="D8" i="21"/>
  <c r="F7" i="21"/>
  <c r="E7" i="21"/>
  <c r="D7" i="21"/>
  <c r="F6" i="21"/>
  <c r="E6" i="21"/>
  <c r="D6" i="21"/>
  <c r="F5" i="21"/>
  <c r="E5" i="21"/>
  <c r="D5" i="21"/>
  <c r="F4" i="21"/>
  <c r="E4" i="21"/>
  <c r="D4" i="21"/>
  <c r="F3" i="21"/>
  <c r="E3" i="21"/>
  <c r="D3" i="21"/>
  <c r="F2" i="21"/>
  <c r="E2" i="21"/>
  <c r="D2" i="21"/>
  <c r="F12" i="20"/>
  <c r="E12" i="20"/>
  <c r="D12" i="20"/>
  <c r="F11" i="20"/>
  <c r="E11" i="20"/>
  <c r="D11" i="20"/>
  <c r="F10" i="20"/>
  <c r="E10" i="20"/>
  <c r="D10" i="20"/>
  <c r="F9" i="20"/>
  <c r="E9" i="20"/>
  <c r="D9" i="20"/>
  <c r="F8" i="20"/>
  <c r="E8" i="20"/>
  <c r="D8" i="20"/>
  <c r="F7" i="20"/>
  <c r="E7" i="20"/>
  <c r="D7" i="20"/>
  <c r="F6" i="20"/>
  <c r="E6" i="20"/>
  <c r="D6" i="20"/>
  <c r="F5" i="20"/>
  <c r="E5" i="20"/>
  <c r="D5" i="20"/>
  <c r="F4" i="20"/>
  <c r="E4" i="20"/>
  <c r="D4" i="20"/>
  <c r="F3" i="20"/>
  <c r="E3" i="20"/>
  <c r="D3" i="20"/>
  <c r="F2" i="20"/>
  <c r="E2" i="20"/>
  <c r="D2" i="20"/>
  <c r="F2" i="19"/>
  <c r="E2" i="19"/>
  <c r="D2" i="19"/>
  <c r="F2" i="18"/>
  <c r="E2" i="18"/>
  <c r="D2" i="18"/>
  <c r="F2" i="17"/>
  <c r="E2" i="17"/>
  <c r="D2" i="17"/>
  <c r="F2" i="16"/>
  <c r="E2" i="16"/>
  <c r="D2" i="16"/>
  <c r="F2" i="15"/>
  <c r="E2" i="15"/>
  <c r="D2" i="15"/>
  <c r="F2" i="14"/>
  <c r="E2" i="14"/>
  <c r="D2" i="14"/>
  <c r="F2" i="13"/>
  <c r="E2" i="13"/>
  <c r="D2" i="13"/>
  <c r="F2" i="12"/>
  <c r="E2" i="12"/>
  <c r="D2" i="12"/>
  <c r="F2" i="11"/>
  <c r="E2" i="11"/>
  <c r="D2" i="11"/>
  <c r="F2" i="10"/>
  <c r="E2" i="10"/>
  <c r="D2" i="10"/>
  <c r="F2" i="9"/>
  <c r="E2" i="9"/>
  <c r="D2" i="9"/>
  <c r="F2" i="8"/>
  <c r="E2" i="8"/>
  <c r="D2" i="8"/>
  <c r="F2" i="7"/>
  <c r="E2" i="7"/>
  <c r="D2" i="7"/>
  <c r="F2" i="6"/>
  <c r="E2" i="6"/>
  <c r="D2" i="6"/>
  <c r="F12" i="5"/>
  <c r="E12" i="5"/>
  <c r="D12" i="5"/>
  <c r="F11" i="5"/>
  <c r="E11" i="5"/>
  <c r="D11" i="5"/>
  <c r="F10" i="5"/>
  <c r="E10" i="5"/>
  <c r="D10" i="5"/>
  <c r="F9" i="5"/>
  <c r="E9" i="5"/>
  <c r="D9" i="5"/>
  <c r="F8" i="5"/>
  <c r="E8" i="5"/>
  <c r="D8" i="5"/>
  <c r="F7" i="5"/>
  <c r="E7" i="5"/>
  <c r="D7" i="5"/>
  <c r="F6" i="5"/>
  <c r="E6" i="5"/>
  <c r="D6" i="5"/>
  <c r="F5" i="5"/>
  <c r="E5" i="5"/>
  <c r="D5" i="5"/>
  <c r="F4" i="5"/>
  <c r="E4" i="5"/>
  <c r="D4" i="5"/>
  <c r="F3" i="5"/>
  <c r="E3" i="5"/>
  <c r="D3" i="5"/>
  <c r="F2" i="5"/>
  <c r="E2" i="5"/>
  <c r="D2" i="5"/>
  <c r="F9" i="4"/>
  <c r="E9" i="4"/>
  <c r="D9" i="4"/>
  <c r="F8" i="4"/>
  <c r="E8" i="4"/>
  <c r="D8" i="4"/>
  <c r="F7" i="4"/>
  <c r="E7" i="4"/>
  <c r="D7" i="4"/>
  <c r="F6" i="4"/>
  <c r="E6" i="4"/>
  <c r="D6" i="4"/>
  <c r="F5" i="4"/>
  <c r="E5" i="4"/>
  <c r="D5" i="4"/>
  <c r="F4" i="4"/>
  <c r="E4" i="4"/>
  <c r="D4" i="4"/>
  <c r="F3" i="4"/>
  <c r="E3" i="4"/>
  <c r="D3" i="4"/>
  <c r="F2" i="4"/>
  <c r="E2" i="4"/>
  <c r="D2" i="4"/>
  <c r="F343" i="3"/>
  <c r="E343" i="3"/>
  <c r="D343" i="3"/>
  <c r="F342" i="3"/>
  <c r="E342" i="3"/>
  <c r="D342" i="3"/>
  <c r="F341" i="3"/>
  <c r="E341" i="3"/>
  <c r="D341" i="3"/>
  <c r="F340" i="3"/>
  <c r="E340" i="3"/>
  <c r="D340" i="3"/>
  <c r="F339" i="3"/>
  <c r="E339" i="3"/>
  <c r="D339" i="3"/>
  <c r="F338" i="3"/>
  <c r="E338" i="3"/>
  <c r="D338" i="3"/>
  <c r="F337" i="3"/>
  <c r="E337" i="3"/>
  <c r="D337" i="3"/>
  <c r="F336" i="3"/>
  <c r="E336" i="3"/>
  <c r="D336" i="3"/>
  <c r="F335" i="3"/>
  <c r="E335" i="3"/>
  <c r="D335" i="3"/>
  <c r="F334" i="3"/>
  <c r="E334" i="3"/>
  <c r="D334" i="3"/>
  <c r="F333" i="3"/>
  <c r="E333" i="3"/>
  <c r="D333" i="3"/>
  <c r="F332" i="3"/>
  <c r="E332" i="3"/>
  <c r="D332" i="3"/>
  <c r="F331" i="3"/>
  <c r="E331" i="3"/>
  <c r="D331" i="3"/>
  <c r="F330" i="3"/>
  <c r="E330" i="3"/>
  <c r="D330" i="3"/>
  <c r="F329" i="3"/>
  <c r="E329" i="3"/>
  <c r="D329" i="3"/>
  <c r="F328" i="3"/>
  <c r="E328" i="3"/>
  <c r="D328" i="3"/>
  <c r="F327" i="3"/>
  <c r="E327" i="3"/>
  <c r="D327" i="3"/>
  <c r="F326" i="3"/>
  <c r="E326" i="3"/>
  <c r="D326" i="3"/>
  <c r="F325" i="3"/>
  <c r="E325" i="3"/>
  <c r="D325" i="3"/>
  <c r="F324" i="3"/>
  <c r="E324" i="3"/>
  <c r="D324" i="3"/>
  <c r="F323" i="3"/>
  <c r="E323" i="3"/>
  <c r="D323" i="3"/>
  <c r="F322" i="3"/>
  <c r="E322" i="3"/>
  <c r="D322" i="3"/>
  <c r="F321" i="3"/>
  <c r="E321" i="3"/>
  <c r="D321" i="3"/>
  <c r="F320" i="3"/>
  <c r="E320" i="3"/>
  <c r="D320" i="3"/>
  <c r="E319" i="3"/>
  <c r="F318" i="3"/>
  <c r="E318" i="3"/>
  <c r="D318" i="3"/>
  <c r="F317" i="3"/>
  <c r="E317" i="3"/>
  <c r="D317" i="3"/>
  <c r="F316" i="3"/>
  <c r="E316" i="3"/>
  <c r="D316" i="3"/>
  <c r="F315" i="3"/>
  <c r="E315" i="3"/>
  <c r="D315" i="3"/>
  <c r="F314" i="3"/>
  <c r="E314" i="3"/>
  <c r="D314" i="3"/>
  <c r="F313" i="3"/>
  <c r="E313" i="3"/>
  <c r="D313" i="3"/>
  <c r="F312" i="3"/>
  <c r="E312" i="3"/>
  <c r="D312" i="3"/>
  <c r="F311" i="3"/>
  <c r="E311" i="3"/>
  <c r="D311" i="3"/>
  <c r="F310" i="3"/>
  <c r="E310" i="3"/>
  <c r="D310" i="3"/>
  <c r="F309" i="3"/>
  <c r="E309" i="3"/>
  <c r="D309" i="3"/>
  <c r="F308" i="3"/>
  <c r="E308" i="3"/>
  <c r="D308" i="3"/>
  <c r="F307" i="3"/>
  <c r="E307" i="3"/>
  <c r="D307" i="3"/>
  <c r="F306" i="3"/>
  <c r="E306" i="3"/>
  <c r="D306" i="3"/>
  <c r="F305" i="3"/>
  <c r="E305" i="3"/>
  <c r="D305" i="3"/>
  <c r="F304" i="3"/>
  <c r="E304" i="3"/>
  <c r="D304" i="3"/>
  <c r="F303" i="3"/>
  <c r="E303" i="3"/>
  <c r="D303" i="3"/>
  <c r="F302" i="3"/>
  <c r="E302" i="3"/>
  <c r="D302" i="3"/>
  <c r="F301" i="3"/>
  <c r="E301" i="3"/>
  <c r="D301" i="3"/>
  <c r="F300" i="3"/>
  <c r="E300" i="3"/>
  <c r="D300" i="3"/>
  <c r="F299" i="3"/>
  <c r="E299" i="3"/>
  <c r="D299" i="3"/>
  <c r="F298" i="3"/>
  <c r="E298" i="3"/>
  <c r="D298" i="3"/>
  <c r="F297" i="3"/>
  <c r="E297" i="3"/>
  <c r="D297" i="3"/>
  <c r="F296" i="3"/>
  <c r="E296" i="3"/>
  <c r="D296" i="3"/>
  <c r="F295" i="3"/>
  <c r="E295" i="3"/>
  <c r="D295" i="3"/>
  <c r="F294" i="3"/>
  <c r="E294" i="3"/>
  <c r="D294" i="3"/>
  <c r="F293" i="3"/>
  <c r="E293" i="3"/>
  <c r="D293" i="3"/>
  <c r="F292" i="3"/>
  <c r="E292" i="3"/>
  <c r="D292" i="3"/>
  <c r="F291" i="3"/>
  <c r="E291" i="3"/>
  <c r="D291" i="3"/>
  <c r="F290" i="3"/>
  <c r="E290" i="3"/>
  <c r="D290" i="3"/>
  <c r="F289" i="3"/>
  <c r="E289" i="3"/>
  <c r="D289" i="3"/>
  <c r="F288" i="3"/>
  <c r="E288" i="3"/>
  <c r="D288" i="3"/>
  <c r="F287" i="3"/>
  <c r="E287" i="3"/>
  <c r="D287" i="3"/>
  <c r="F286" i="3"/>
  <c r="E286" i="3"/>
  <c r="D286" i="3"/>
  <c r="F285" i="3"/>
  <c r="E285" i="3"/>
  <c r="D285" i="3"/>
  <c r="F284" i="3"/>
  <c r="E284" i="3"/>
  <c r="D284" i="3"/>
  <c r="F283" i="3"/>
  <c r="E283" i="3"/>
  <c r="D283" i="3"/>
  <c r="F282" i="3"/>
  <c r="E282" i="3"/>
  <c r="D282" i="3"/>
  <c r="F281" i="3"/>
  <c r="E281" i="3"/>
  <c r="D281" i="3"/>
  <c r="F280" i="3"/>
  <c r="E280" i="3"/>
  <c r="D280" i="3"/>
  <c r="F279" i="3"/>
  <c r="E279" i="3"/>
  <c r="D279" i="3"/>
  <c r="F278" i="3"/>
  <c r="E278" i="3"/>
  <c r="D278" i="3"/>
  <c r="F277" i="3"/>
  <c r="E277" i="3"/>
  <c r="D277" i="3"/>
  <c r="F276" i="3"/>
  <c r="E276" i="3"/>
  <c r="D276" i="3"/>
  <c r="F275" i="3"/>
  <c r="E275" i="3"/>
  <c r="D275" i="3"/>
  <c r="F274" i="3"/>
  <c r="E274" i="3"/>
  <c r="D274" i="3"/>
  <c r="F273" i="3"/>
  <c r="E273" i="3"/>
  <c r="D273" i="3"/>
  <c r="F272" i="3"/>
  <c r="E272" i="3"/>
  <c r="D272" i="3"/>
  <c r="F271" i="3"/>
  <c r="E271" i="3"/>
  <c r="D271" i="3"/>
  <c r="F270" i="3"/>
  <c r="E270" i="3"/>
  <c r="D270" i="3"/>
  <c r="F269" i="3"/>
  <c r="E269" i="3"/>
  <c r="D269" i="3"/>
  <c r="E268" i="3"/>
  <c r="F267" i="3"/>
  <c r="E267" i="3"/>
  <c r="D267" i="3"/>
  <c r="F266" i="3"/>
  <c r="E266" i="3"/>
  <c r="D266" i="3"/>
  <c r="F265" i="3"/>
  <c r="E265" i="3"/>
  <c r="D265" i="3"/>
  <c r="F264" i="3"/>
  <c r="E264" i="3"/>
  <c r="D264" i="3"/>
  <c r="F263" i="3"/>
  <c r="E263" i="3"/>
  <c r="D263" i="3"/>
  <c r="F262" i="3"/>
  <c r="E262" i="3"/>
  <c r="D262" i="3"/>
  <c r="F261" i="3"/>
  <c r="E261" i="3"/>
  <c r="D261" i="3"/>
  <c r="F260" i="3"/>
  <c r="E260" i="3"/>
  <c r="D260" i="3"/>
  <c r="F259" i="3"/>
  <c r="E259" i="3"/>
  <c r="D259" i="3"/>
  <c r="F258" i="3"/>
  <c r="E258" i="3"/>
  <c r="D258" i="3"/>
  <c r="F257" i="3"/>
  <c r="E257" i="3"/>
  <c r="D257" i="3"/>
  <c r="F256" i="3"/>
  <c r="E256" i="3"/>
  <c r="D256" i="3"/>
  <c r="F255" i="3"/>
  <c r="E255" i="3"/>
  <c r="D255" i="3"/>
  <c r="F254" i="3"/>
  <c r="E254" i="3"/>
  <c r="F253" i="3"/>
  <c r="E253" i="3"/>
  <c r="D253" i="3"/>
  <c r="F252" i="3"/>
  <c r="E252" i="3"/>
  <c r="D252" i="3"/>
  <c r="F251" i="3"/>
  <c r="E251" i="3"/>
  <c r="D251" i="3"/>
  <c r="F250" i="3"/>
  <c r="E250" i="3"/>
  <c r="D250" i="3"/>
  <c r="F249" i="3"/>
  <c r="E249" i="3"/>
  <c r="D249" i="3"/>
  <c r="F248" i="3"/>
  <c r="E248" i="3"/>
  <c r="D248" i="3"/>
  <c r="F247" i="3"/>
  <c r="E247" i="3"/>
  <c r="D247" i="3"/>
  <c r="F246" i="3"/>
  <c r="E246" i="3"/>
  <c r="D246" i="3"/>
  <c r="F245" i="3"/>
  <c r="E245" i="3"/>
  <c r="D245" i="3"/>
  <c r="F244" i="3"/>
  <c r="E244" i="3"/>
  <c r="D244" i="3"/>
  <c r="F243" i="3"/>
  <c r="E243" i="3"/>
  <c r="D243" i="3"/>
  <c r="F242" i="3"/>
  <c r="E242" i="3"/>
  <c r="D242" i="3"/>
  <c r="F241" i="3"/>
  <c r="E241" i="3"/>
  <c r="D241" i="3"/>
  <c r="F240" i="3"/>
  <c r="E240" i="3"/>
  <c r="D240" i="3"/>
  <c r="F239" i="3"/>
  <c r="E239" i="3"/>
  <c r="D239" i="3"/>
  <c r="F238" i="3"/>
  <c r="E238" i="3"/>
  <c r="D238" i="3"/>
  <c r="F237" i="3"/>
  <c r="E237" i="3"/>
  <c r="D237" i="3"/>
  <c r="F236" i="3"/>
  <c r="E236" i="3"/>
  <c r="D236" i="3"/>
  <c r="F235" i="3"/>
  <c r="E235" i="3"/>
  <c r="D235" i="3"/>
  <c r="F234" i="3"/>
  <c r="E234" i="3"/>
  <c r="D234" i="3"/>
  <c r="F233" i="3"/>
  <c r="E233" i="3"/>
  <c r="D233" i="3"/>
  <c r="F232" i="3"/>
  <c r="E232" i="3"/>
  <c r="D232" i="3"/>
  <c r="F231" i="3"/>
  <c r="E231" i="3"/>
  <c r="D231" i="3"/>
  <c r="F230" i="3"/>
  <c r="E230" i="3"/>
  <c r="D230" i="3"/>
  <c r="F229" i="3"/>
  <c r="E229" i="3"/>
  <c r="D229" i="3"/>
  <c r="F228" i="3"/>
  <c r="E228" i="3"/>
  <c r="D228" i="3"/>
  <c r="F227" i="3"/>
  <c r="E227" i="3"/>
  <c r="D227" i="3"/>
  <c r="F226" i="3"/>
  <c r="E226" i="3"/>
  <c r="D226" i="3"/>
  <c r="F225" i="3"/>
  <c r="E225" i="3"/>
  <c r="D225" i="3"/>
  <c r="F224" i="3"/>
  <c r="E224" i="3"/>
  <c r="D224" i="3"/>
  <c r="F223" i="3"/>
  <c r="E223" i="3"/>
  <c r="D223" i="3"/>
  <c r="F222" i="3"/>
  <c r="E222" i="3"/>
  <c r="D222" i="3"/>
  <c r="F221" i="3"/>
  <c r="E221" i="3"/>
  <c r="D221" i="3"/>
  <c r="F220" i="3"/>
  <c r="E220" i="3"/>
  <c r="D220" i="3"/>
  <c r="F219" i="3"/>
  <c r="E219" i="3"/>
  <c r="D219" i="3"/>
  <c r="F218" i="3"/>
  <c r="E218" i="3"/>
  <c r="D218" i="3"/>
  <c r="F217" i="3"/>
  <c r="E217" i="3"/>
  <c r="D217" i="3"/>
  <c r="F216" i="3"/>
  <c r="E216" i="3"/>
  <c r="D216" i="3"/>
  <c r="F215" i="3"/>
  <c r="E215" i="3"/>
  <c r="D215" i="3"/>
  <c r="F214" i="3"/>
  <c r="E214" i="3"/>
  <c r="D214" i="3"/>
  <c r="F213" i="3"/>
  <c r="E213" i="3"/>
  <c r="D213" i="3"/>
  <c r="F212" i="3"/>
  <c r="E212" i="3"/>
  <c r="D212" i="3"/>
  <c r="F211" i="3"/>
  <c r="E211" i="3"/>
  <c r="D211" i="3"/>
  <c r="F210" i="3"/>
  <c r="E210" i="3"/>
  <c r="D210" i="3"/>
  <c r="F209" i="3"/>
  <c r="E209" i="3"/>
  <c r="D209" i="3"/>
  <c r="F208" i="3"/>
  <c r="E208" i="3"/>
  <c r="D208" i="3"/>
  <c r="F207" i="3"/>
  <c r="E207" i="3"/>
  <c r="D207" i="3"/>
  <c r="F206" i="3"/>
  <c r="E206" i="3"/>
  <c r="D206" i="3"/>
  <c r="F205" i="3"/>
  <c r="E205" i="3"/>
  <c r="D205" i="3"/>
  <c r="F204" i="3"/>
  <c r="E204" i="3"/>
  <c r="D204" i="3"/>
  <c r="F203" i="3"/>
  <c r="E203" i="3"/>
  <c r="D203" i="3"/>
  <c r="F202" i="3"/>
  <c r="E202" i="3"/>
  <c r="D202" i="3"/>
  <c r="F201" i="3"/>
  <c r="E201" i="3"/>
  <c r="D201" i="3"/>
  <c r="F200" i="3"/>
  <c r="E200" i="3"/>
  <c r="D200" i="3"/>
  <c r="F199" i="3"/>
  <c r="E199" i="3"/>
  <c r="D199" i="3"/>
  <c r="F198" i="3"/>
  <c r="E198" i="3"/>
  <c r="D198" i="3"/>
  <c r="F197" i="3"/>
  <c r="E197" i="3"/>
  <c r="D197" i="3"/>
  <c r="F196" i="3"/>
  <c r="E196" i="3"/>
  <c r="D196" i="3"/>
  <c r="F195" i="3"/>
  <c r="E195" i="3"/>
  <c r="D195" i="3"/>
  <c r="F194" i="3"/>
  <c r="E194" i="3"/>
  <c r="D194" i="3"/>
  <c r="F193" i="3"/>
  <c r="E193" i="3"/>
  <c r="D193" i="3"/>
  <c r="F192" i="3"/>
  <c r="E192" i="3"/>
  <c r="D192" i="3"/>
  <c r="F191" i="3"/>
  <c r="E191" i="3"/>
  <c r="D191" i="3"/>
  <c r="F190" i="3"/>
  <c r="E190" i="3"/>
  <c r="D190" i="3"/>
  <c r="F189" i="3"/>
  <c r="E189" i="3"/>
  <c r="D189" i="3"/>
  <c r="F188" i="3"/>
  <c r="E188" i="3"/>
  <c r="D188" i="3"/>
  <c r="F187" i="3"/>
  <c r="E187" i="3"/>
  <c r="D187" i="3"/>
  <c r="F186" i="3"/>
  <c r="E186" i="3"/>
  <c r="D186" i="3"/>
  <c r="F185" i="3"/>
  <c r="E185" i="3"/>
  <c r="D185" i="3"/>
  <c r="F184" i="3"/>
  <c r="E184" i="3"/>
  <c r="D184" i="3"/>
  <c r="F183" i="3"/>
  <c r="E183" i="3"/>
  <c r="D183" i="3"/>
  <c r="F182" i="3"/>
  <c r="E182" i="3"/>
  <c r="D182" i="3"/>
  <c r="F181" i="3"/>
  <c r="E181" i="3"/>
  <c r="D181" i="3"/>
  <c r="F180" i="3"/>
  <c r="E180" i="3"/>
  <c r="D180" i="3"/>
  <c r="F179" i="3"/>
  <c r="E179" i="3"/>
  <c r="D179" i="3"/>
  <c r="F178" i="3"/>
  <c r="E178" i="3"/>
  <c r="D178" i="3"/>
  <c r="F177" i="3"/>
  <c r="E177" i="3"/>
  <c r="D177" i="3"/>
  <c r="F176" i="3"/>
  <c r="E176" i="3"/>
  <c r="D176" i="3"/>
  <c r="F175" i="3"/>
  <c r="E175" i="3"/>
  <c r="F174" i="3"/>
  <c r="E174" i="3"/>
  <c r="D174" i="3"/>
  <c r="F173" i="3"/>
  <c r="E173" i="3"/>
  <c r="D173" i="3"/>
  <c r="F172" i="3"/>
  <c r="E172" i="3"/>
  <c r="D172" i="3"/>
  <c r="F171" i="3"/>
  <c r="E171" i="3"/>
  <c r="D171" i="3"/>
  <c r="F170" i="3"/>
  <c r="E170" i="3"/>
  <c r="D170" i="3"/>
  <c r="F169" i="3"/>
  <c r="E169" i="3"/>
  <c r="D169" i="3"/>
  <c r="F168" i="3"/>
  <c r="E168" i="3"/>
  <c r="D168" i="3"/>
  <c r="F167" i="3"/>
  <c r="E167" i="3"/>
  <c r="D167" i="3"/>
  <c r="F166" i="3"/>
  <c r="E166" i="3"/>
  <c r="D166" i="3"/>
  <c r="F165" i="3"/>
  <c r="E165" i="3"/>
  <c r="D165" i="3"/>
  <c r="F164" i="3"/>
  <c r="E164" i="3"/>
  <c r="D164" i="3"/>
  <c r="F163" i="3"/>
  <c r="E163" i="3"/>
  <c r="D163" i="3"/>
  <c r="F162" i="3"/>
  <c r="E162" i="3"/>
  <c r="D162" i="3"/>
  <c r="F161" i="3"/>
  <c r="E161" i="3"/>
  <c r="D161" i="3"/>
  <c r="F160" i="3"/>
  <c r="E160" i="3"/>
  <c r="D160" i="3"/>
  <c r="F159" i="3"/>
  <c r="E159" i="3"/>
  <c r="D159" i="3"/>
  <c r="F158" i="3"/>
  <c r="E158" i="3"/>
  <c r="D158" i="3"/>
  <c r="F157" i="3"/>
  <c r="E157" i="3"/>
  <c r="D157" i="3"/>
  <c r="F156" i="3"/>
  <c r="E156" i="3"/>
  <c r="D156" i="3"/>
  <c r="F155" i="3"/>
  <c r="E155" i="3"/>
  <c r="D155" i="3"/>
  <c r="F154" i="3"/>
  <c r="E154" i="3"/>
  <c r="D154" i="3"/>
  <c r="F153" i="3"/>
  <c r="E153" i="3"/>
  <c r="D153" i="3"/>
  <c r="F152" i="3"/>
  <c r="E152" i="3"/>
  <c r="D152" i="3"/>
  <c r="F151" i="3"/>
  <c r="E151" i="3"/>
  <c r="D151" i="3"/>
  <c r="F150" i="3"/>
  <c r="E150" i="3"/>
  <c r="D150" i="3"/>
  <c r="F149" i="3"/>
  <c r="E149" i="3"/>
  <c r="D149" i="3"/>
  <c r="F148" i="3"/>
  <c r="E148" i="3"/>
  <c r="D148" i="3"/>
  <c r="F147" i="3"/>
  <c r="E147" i="3"/>
  <c r="D147" i="3"/>
  <c r="F146" i="3"/>
  <c r="E146" i="3"/>
  <c r="D146" i="3"/>
  <c r="F145" i="3"/>
  <c r="E145" i="3"/>
  <c r="D145" i="3"/>
  <c r="F144" i="3"/>
  <c r="E144" i="3"/>
  <c r="D144" i="3"/>
  <c r="F143" i="3"/>
  <c r="E143" i="3"/>
  <c r="D143" i="3"/>
  <c r="F142" i="3"/>
  <c r="E142" i="3"/>
  <c r="D142" i="3"/>
  <c r="F141" i="3"/>
  <c r="E141" i="3"/>
  <c r="D141" i="3"/>
  <c r="F140" i="3"/>
  <c r="E140" i="3"/>
  <c r="D140" i="3"/>
  <c r="F139" i="3"/>
  <c r="E139" i="3"/>
  <c r="D139" i="3"/>
  <c r="F138" i="3"/>
  <c r="E138" i="3"/>
  <c r="D138" i="3"/>
  <c r="F137" i="3"/>
  <c r="E137" i="3"/>
  <c r="D137" i="3"/>
  <c r="F136" i="3"/>
  <c r="E136" i="3"/>
  <c r="D136" i="3"/>
  <c r="F135" i="3"/>
  <c r="E135" i="3"/>
  <c r="D135" i="3"/>
  <c r="F134" i="3"/>
  <c r="E134" i="3"/>
  <c r="D134" i="3"/>
  <c r="F133" i="3"/>
  <c r="E133" i="3"/>
  <c r="D133" i="3"/>
  <c r="F132" i="3"/>
  <c r="E132" i="3"/>
  <c r="D132" i="3"/>
  <c r="F131" i="3"/>
  <c r="E131" i="3"/>
  <c r="D131" i="3"/>
  <c r="F130" i="3"/>
  <c r="E130" i="3"/>
  <c r="D130" i="3"/>
  <c r="F129" i="3"/>
  <c r="E129" i="3"/>
  <c r="D129" i="3"/>
  <c r="F128" i="3"/>
  <c r="E128" i="3"/>
  <c r="D128" i="3"/>
  <c r="F127" i="3"/>
  <c r="E127" i="3"/>
  <c r="D127" i="3"/>
  <c r="F126" i="3"/>
  <c r="E126" i="3"/>
  <c r="D126" i="3"/>
  <c r="F125" i="3"/>
  <c r="E125" i="3"/>
  <c r="D125" i="3"/>
  <c r="F124" i="3"/>
  <c r="E124" i="3"/>
  <c r="D124" i="3"/>
  <c r="F123" i="3"/>
  <c r="E123" i="3"/>
  <c r="D123" i="3"/>
  <c r="F122" i="3"/>
  <c r="E122" i="3"/>
  <c r="D122" i="3"/>
  <c r="F121" i="3"/>
  <c r="E121" i="3"/>
  <c r="D121" i="3"/>
  <c r="F120" i="3"/>
  <c r="E120" i="3"/>
  <c r="D120" i="3"/>
  <c r="F119" i="3"/>
  <c r="E119" i="3"/>
  <c r="D119" i="3"/>
  <c r="F118" i="3"/>
  <c r="E118" i="3"/>
  <c r="D118" i="3"/>
  <c r="F117" i="3"/>
  <c r="E117" i="3"/>
  <c r="D117" i="3"/>
  <c r="F116" i="3"/>
  <c r="E116" i="3"/>
  <c r="D116" i="3"/>
  <c r="F115" i="3"/>
  <c r="E115" i="3"/>
  <c r="D115" i="3"/>
  <c r="F114" i="3"/>
  <c r="E114" i="3"/>
  <c r="D114" i="3"/>
  <c r="F113" i="3"/>
  <c r="E113" i="3"/>
  <c r="D113" i="3"/>
  <c r="F112" i="3"/>
  <c r="E112" i="3"/>
  <c r="D112" i="3"/>
  <c r="F111" i="3"/>
  <c r="E111" i="3"/>
  <c r="D111" i="3"/>
  <c r="F110" i="3"/>
  <c r="E110" i="3"/>
  <c r="D110" i="3"/>
  <c r="F109" i="3"/>
  <c r="E109" i="3"/>
  <c r="D109" i="3"/>
  <c r="F108" i="3"/>
  <c r="E108" i="3"/>
  <c r="D108" i="3"/>
  <c r="F107" i="3"/>
  <c r="E107" i="3"/>
  <c r="D107" i="3"/>
  <c r="F106" i="3"/>
  <c r="E106" i="3"/>
  <c r="D106" i="3"/>
  <c r="F105" i="3"/>
  <c r="E105" i="3"/>
  <c r="D105" i="3"/>
  <c r="F104" i="3"/>
  <c r="E104" i="3"/>
  <c r="D104" i="3"/>
  <c r="F103" i="3"/>
  <c r="E103" i="3"/>
  <c r="D103" i="3"/>
  <c r="F102" i="3"/>
  <c r="E102" i="3"/>
  <c r="D102" i="3"/>
  <c r="F101" i="3"/>
  <c r="E101" i="3"/>
  <c r="D101" i="3"/>
  <c r="F100" i="3"/>
  <c r="E100" i="3"/>
  <c r="D100" i="3"/>
  <c r="F99" i="3"/>
  <c r="E99" i="3"/>
  <c r="D99" i="3"/>
  <c r="F98" i="3"/>
  <c r="E98" i="3"/>
  <c r="D98" i="3"/>
  <c r="F97" i="3"/>
  <c r="E97" i="3"/>
  <c r="D97" i="3"/>
  <c r="F96" i="3"/>
  <c r="E96" i="3"/>
  <c r="D96" i="3"/>
  <c r="F95" i="3"/>
  <c r="E95" i="3"/>
  <c r="D95" i="3"/>
  <c r="F94" i="3"/>
  <c r="E94" i="3"/>
  <c r="D94" i="3"/>
  <c r="F93" i="3"/>
  <c r="E93" i="3"/>
  <c r="D93" i="3"/>
  <c r="F92" i="3"/>
  <c r="E92" i="3"/>
  <c r="D92" i="3"/>
  <c r="F91" i="3"/>
  <c r="E91" i="3"/>
  <c r="D91" i="3"/>
  <c r="F90" i="3"/>
  <c r="E90" i="3"/>
  <c r="D90" i="3"/>
  <c r="F89" i="3"/>
  <c r="E89" i="3"/>
  <c r="D89" i="3"/>
  <c r="F88" i="3"/>
  <c r="E88" i="3"/>
  <c r="D88" i="3"/>
  <c r="F87" i="3"/>
  <c r="E87" i="3"/>
  <c r="D87" i="3"/>
  <c r="F86" i="3"/>
  <c r="E86" i="3"/>
  <c r="D86" i="3"/>
  <c r="F85" i="3"/>
  <c r="E85" i="3"/>
  <c r="D85" i="3"/>
  <c r="F84" i="3"/>
  <c r="E84" i="3"/>
  <c r="D84" i="3"/>
  <c r="F83" i="3"/>
  <c r="E83" i="3"/>
  <c r="D83" i="3"/>
  <c r="F82" i="3"/>
  <c r="E82" i="3"/>
  <c r="D82" i="3"/>
  <c r="F81" i="3"/>
  <c r="E81" i="3"/>
  <c r="D81" i="3"/>
  <c r="F80" i="3"/>
  <c r="E80" i="3"/>
  <c r="D80" i="3"/>
  <c r="F79" i="3"/>
  <c r="E79" i="3"/>
  <c r="D79" i="3"/>
  <c r="F78" i="3"/>
  <c r="E78" i="3"/>
  <c r="D78" i="3"/>
  <c r="F77" i="3"/>
  <c r="E77" i="3"/>
  <c r="D77" i="3"/>
  <c r="F76" i="3"/>
  <c r="E76" i="3"/>
  <c r="D76" i="3"/>
  <c r="F75" i="3"/>
  <c r="E75" i="3"/>
  <c r="D75" i="3"/>
  <c r="F74" i="3"/>
  <c r="E74" i="3"/>
  <c r="D74" i="3"/>
  <c r="F73" i="3"/>
  <c r="E73" i="3"/>
  <c r="D73" i="3"/>
  <c r="F72" i="3"/>
  <c r="E72" i="3"/>
  <c r="D72" i="3"/>
  <c r="F71" i="3"/>
  <c r="E71" i="3"/>
  <c r="D71" i="3"/>
  <c r="F70" i="3"/>
  <c r="E70" i="3"/>
  <c r="D70" i="3"/>
  <c r="F69" i="3"/>
  <c r="E69" i="3"/>
  <c r="D69" i="3"/>
  <c r="F68" i="3"/>
  <c r="E68" i="3"/>
  <c r="D68" i="3"/>
  <c r="F67" i="3"/>
  <c r="E67" i="3"/>
  <c r="D67" i="3"/>
  <c r="F66" i="3"/>
  <c r="E66" i="3"/>
  <c r="D66" i="3"/>
  <c r="F65" i="3"/>
  <c r="E65" i="3"/>
  <c r="D65" i="3"/>
  <c r="F64" i="3"/>
  <c r="E64" i="3"/>
  <c r="D64" i="3"/>
  <c r="F63" i="3"/>
  <c r="E63" i="3"/>
  <c r="D63" i="3"/>
  <c r="F62" i="3"/>
  <c r="E62" i="3"/>
  <c r="D62" i="3"/>
  <c r="F61" i="3"/>
  <c r="E61" i="3"/>
  <c r="D61" i="3"/>
  <c r="F60" i="3"/>
  <c r="E60" i="3"/>
  <c r="D60" i="3"/>
  <c r="F59" i="3"/>
  <c r="E59" i="3"/>
  <c r="D59" i="3"/>
  <c r="F58" i="3"/>
  <c r="E58" i="3"/>
  <c r="D58" i="3"/>
  <c r="F57" i="3"/>
  <c r="E57" i="3"/>
  <c r="D57" i="3"/>
  <c r="F56" i="3"/>
  <c r="E56" i="3"/>
  <c r="D56" i="3"/>
  <c r="F55" i="3"/>
  <c r="E55" i="3"/>
  <c r="D55" i="3"/>
  <c r="F54" i="3"/>
  <c r="E54" i="3"/>
  <c r="D54" i="3"/>
  <c r="F53" i="3"/>
  <c r="E53" i="3"/>
  <c r="D53" i="3"/>
  <c r="F52" i="3"/>
  <c r="E52" i="3"/>
  <c r="D52" i="3"/>
  <c r="F51" i="3"/>
  <c r="E51" i="3"/>
  <c r="D51" i="3"/>
  <c r="F50" i="3"/>
  <c r="E50" i="3"/>
  <c r="D50" i="3"/>
  <c r="F49" i="3"/>
  <c r="E49" i="3"/>
  <c r="D49" i="3"/>
  <c r="F48" i="3"/>
  <c r="E48" i="3"/>
  <c r="D48" i="3"/>
  <c r="F47" i="3"/>
  <c r="E47" i="3"/>
  <c r="D47" i="3"/>
  <c r="F46" i="3"/>
  <c r="E46" i="3"/>
  <c r="D46" i="3"/>
  <c r="F45" i="3"/>
  <c r="E45" i="3"/>
  <c r="D45" i="3"/>
  <c r="F44" i="3"/>
  <c r="E44" i="3"/>
  <c r="D44" i="3"/>
  <c r="F43" i="3"/>
  <c r="E43" i="3"/>
  <c r="D43" i="3"/>
  <c r="F42" i="3"/>
  <c r="E42" i="3"/>
  <c r="D42" i="3"/>
  <c r="F41" i="3"/>
  <c r="E41" i="3"/>
  <c r="D41" i="3"/>
  <c r="F40" i="3"/>
  <c r="E40" i="3"/>
  <c r="D40" i="3"/>
  <c r="F39" i="3"/>
  <c r="E39" i="3"/>
  <c r="D39" i="3"/>
  <c r="F38" i="3"/>
  <c r="E38" i="3"/>
  <c r="D38" i="3"/>
  <c r="F37" i="3"/>
  <c r="E37" i="3"/>
  <c r="D37" i="3"/>
  <c r="F36" i="3"/>
  <c r="E36" i="3"/>
  <c r="D36" i="3"/>
  <c r="F35" i="3"/>
  <c r="E35" i="3"/>
  <c r="D35" i="3"/>
  <c r="F34" i="3"/>
  <c r="E34" i="3"/>
  <c r="D34" i="3"/>
  <c r="F33" i="3"/>
  <c r="E33" i="3"/>
  <c r="D33" i="3"/>
  <c r="F32" i="3"/>
  <c r="E32" i="3"/>
  <c r="D32" i="3"/>
  <c r="F31" i="3"/>
  <c r="E31" i="3"/>
  <c r="D31" i="3"/>
  <c r="F30" i="3"/>
  <c r="E30" i="3"/>
  <c r="D30" i="3"/>
  <c r="F29" i="3"/>
  <c r="E29" i="3"/>
  <c r="D29" i="3"/>
  <c r="F28" i="3"/>
  <c r="E28" i="3"/>
  <c r="D28" i="3"/>
  <c r="F27" i="3"/>
  <c r="E27" i="3"/>
  <c r="D27" i="3"/>
  <c r="F26" i="3"/>
  <c r="E26" i="3"/>
  <c r="D26" i="3"/>
  <c r="F25" i="3"/>
  <c r="E25" i="3"/>
  <c r="D25" i="3"/>
  <c r="F24" i="3"/>
  <c r="E24" i="3"/>
  <c r="D24" i="3"/>
  <c r="F23" i="3"/>
  <c r="E23" i="3"/>
  <c r="D23" i="3"/>
  <c r="F22" i="3"/>
  <c r="E22" i="3"/>
  <c r="D22" i="3"/>
  <c r="F21" i="3"/>
  <c r="E21" i="3"/>
  <c r="D21" i="3"/>
  <c r="F20" i="3"/>
  <c r="E20" i="3"/>
  <c r="D20" i="3"/>
  <c r="F19" i="3"/>
  <c r="E19" i="3"/>
  <c r="D19" i="3"/>
  <c r="F18" i="3"/>
  <c r="E18" i="3"/>
  <c r="D18" i="3"/>
  <c r="F17" i="3"/>
  <c r="E17" i="3"/>
  <c r="D17" i="3"/>
  <c r="F16" i="3"/>
  <c r="E16" i="3"/>
  <c r="D16" i="3"/>
  <c r="F15" i="3"/>
  <c r="E15" i="3"/>
  <c r="D15" i="3"/>
  <c r="F14" i="3"/>
  <c r="E14" i="3"/>
  <c r="D14" i="3"/>
  <c r="F13" i="3"/>
  <c r="E13" i="3"/>
  <c r="D13" i="3"/>
  <c r="F12" i="3"/>
  <c r="E12" i="3"/>
  <c r="D12" i="3"/>
  <c r="F11" i="3"/>
  <c r="E11" i="3"/>
  <c r="D11" i="3"/>
  <c r="F10" i="3"/>
  <c r="E10" i="3"/>
  <c r="D10" i="3"/>
  <c r="F9" i="3"/>
  <c r="E9" i="3"/>
  <c r="D9" i="3"/>
  <c r="F8" i="3"/>
  <c r="E8" i="3"/>
  <c r="D8" i="3"/>
  <c r="F7" i="3"/>
  <c r="E7" i="3"/>
  <c r="D7" i="3"/>
  <c r="F6" i="3"/>
  <c r="E6" i="3"/>
  <c r="D6" i="3"/>
  <c r="F5" i="3"/>
  <c r="E5" i="3"/>
  <c r="F4" i="3"/>
  <c r="E4" i="3"/>
  <c r="D4" i="3"/>
  <c r="F3" i="3"/>
  <c r="E3" i="3"/>
  <c r="D3" i="3"/>
  <c r="F2" i="3"/>
  <c r="E2" i="3"/>
  <c r="D2" i="3"/>
  <c r="F157" i="2"/>
  <c r="E157" i="2"/>
  <c r="D157" i="2"/>
  <c r="F156" i="2"/>
  <c r="E156" i="2"/>
  <c r="D156" i="2"/>
  <c r="F155" i="2"/>
  <c r="E155" i="2"/>
  <c r="D155" i="2"/>
  <c r="F154" i="2"/>
  <c r="E154" i="2"/>
  <c r="D154" i="2"/>
  <c r="F153" i="2"/>
  <c r="E153" i="2"/>
  <c r="D153" i="2"/>
  <c r="F152" i="2"/>
  <c r="E152" i="2"/>
  <c r="D152" i="2"/>
  <c r="F151" i="2"/>
  <c r="E151" i="2"/>
  <c r="D151" i="2"/>
  <c r="F150" i="2"/>
  <c r="E150" i="2"/>
  <c r="D150" i="2"/>
  <c r="F149" i="2"/>
  <c r="E149" i="2"/>
  <c r="D149" i="2"/>
  <c r="F148" i="2"/>
  <c r="E148" i="2"/>
  <c r="D148" i="2"/>
  <c r="F147" i="2"/>
  <c r="E147" i="2"/>
  <c r="D147" i="2"/>
  <c r="F146" i="2"/>
  <c r="E146" i="2"/>
  <c r="D146" i="2"/>
  <c r="F145" i="2"/>
  <c r="E145" i="2"/>
  <c r="D145" i="2"/>
  <c r="F144" i="2"/>
  <c r="E144" i="2"/>
  <c r="D144" i="2"/>
  <c r="F143" i="2"/>
  <c r="E143" i="2"/>
  <c r="D143" i="2"/>
  <c r="F142" i="2"/>
  <c r="E142" i="2"/>
  <c r="D142" i="2"/>
  <c r="F141" i="2"/>
  <c r="E141" i="2"/>
  <c r="D141" i="2"/>
  <c r="F140" i="2"/>
  <c r="E140" i="2"/>
  <c r="D140" i="2"/>
  <c r="F139" i="2"/>
  <c r="E139" i="2"/>
  <c r="D139" i="2"/>
  <c r="F138" i="2"/>
  <c r="E138" i="2"/>
  <c r="D138" i="2"/>
  <c r="F137" i="2"/>
  <c r="E137" i="2"/>
  <c r="D137" i="2"/>
  <c r="F136" i="2"/>
  <c r="E136" i="2"/>
  <c r="D136" i="2"/>
  <c r="F135" i="2"/>
  <c r="E135" i="2"/>
  <c r="D135" i="2"/>
  <c r="F134" i="2"/>
  <c r="E134" i="2"/>
  <c r="D134" i="2"/>
  <c r="F133" i="2"/>
  <c r="E133" i="2"/>
  <c r="D133" i="2"/>
  <c r="F132" i="2"/>
  <c r="E132" i="2"/>
  <c r="D132" i="2"/>
  <c r="F131" i="2"/>
  <c r="E131" i="2"/>
  <c r="D131" i="2"/>
  <c r="F130" i="2"/>
  <c r="E130" i="2"/>
  <c r="D130" i="2"/>
  <c r="F129" i="2"/>
  <c r="E129" i="2"/>
  <c r="D129" i="2"/>
  <c r="F128" i="2"/>
  <c r="E128" i="2"/>
  <c r="D128" i="2"/>
  <c r="F127" i="2"/>
  <c r="E127" i="2"/>
  <c r="D127" i="2"/>
  <c r="F126" i="2"/>
  <c r="E126" i="2"/>
  <c r="D126" i="2"/>
  <c r="F125" i="2"/>
  <c r="E125" i="2"/>
  <c r="D125" i="2"/>
  <c r="F124" i="2"/>
  <c r="E124" i="2"/>
  <c r="D124" i="2"/>
  <c r="F123" i="2"/>
  <c r="E123" i="2"/>
  <c r="D123" i="2"/>
  <c r="F122" i="2"/>
  <c r="E122" i="2"/>
  <c r="D122" i="2"/>
  <c r="F121" i="2"/>
  <c r="E121" i="2"/>
  <c r="F120" i="2"/>
  <c r="E120" i="2"/>
  <c r="D120" i="2"/>
  <c r="F119" i="2"/>
  <c r="E119" i="2"/>
  <c r="D119" i="2"/>
  <c r="F118" i="2"/>
  <c r="E118" i="2"/>
  <c r="D118" i="2"/>
  <c r="F117" i="2"/>
  <c r="E117" i="2"/>
  <c r="D117" i="2"/>
  <c r="F116" i="2"/>
  <c r="E116" i="2"/>
  <c r="D116" i="2"/>
  <c r="F115" i="2"/>
  <c r="E115" i="2"/>
  <c r="D115" i="2"/>
  <c r="F114" i="2"/>
  <c r="E114" i="2"/>
  <c r="D114" i="2"/>
  <c r="F113" i="2"/>
  <c r="E113" i="2"/>
  <c r="D113" i="2"/>
  <c r="F112" i="2"/>
  <c r="E112" i="2"/>
  <c r="D112" i="2"/>
  <c r="F111" i="2"/>
  <c r="E111" i="2"/>
  <c r="D111" i="2"/>
  <c r="F110" i="2"/>
  <c r="E110" i="2"/>
  <c r="D110" i="2"/>
  <c r="F109" i="2"/>
  <c r="E109" i="2"/>
  <c r="D109" i="2"/>
  <c r="F108" i="2"/>
  <c r="E108" i="2"/>
  <c r="D108" i="2"/>
  <c r="F107" i="2"/>
  <c r="E107" i="2"/>
  <c r="F106" i="2"/>
  <c r="E106" i="2"/>
  <c r="D106" i="2"/>
  <c r="F105" i="2"/>
  <c r="E105" i="2"/>
  <c r="D105" i="2"/>
  <c r="F104" i="2"/>
  <c r="E104" i="2"/>
  <c r="D104" i="2"/>
  <c r="F103" i="2"/>
  <c r="E103" i="2"/>
  <c r="D103" i="2"/>
  <c r="F102" i="2"/>
  <c r="E102" i="2"/>
  <c r="D102" i="2"/>
  <c r="F101" i="2"/>
  <c r="E101" i="2"/>
  <c r="D101" i="2"/>
  <c r="F100" i="2"/>
  <c r="E100" i="2"/>
  <c r="D100" i="2"/>
  <c r="F99" i="2"/>
  <c r="E99" i="2"/>
  <c r="D99" i="2"/>
  <c r="F98" i="2"/>
  <c r="E98" i="2"/>
  <c r="D98" i="2"/>
  <c r="F97" i="2"/>
  <c r="E97" i="2"/>
  <c r="D97" i="2"/>
  <c r="F96" i="2"/>
  <c r="E96" i="2"/>
  <c r="D96" i="2"/>
  <c r="F95" i="2"/>
  <c r="E95" i="2"/>
  <c r="D95" i="2"/>
  <c r="F94" i="2"/>
  <c r="E94" i="2"/>
  <c r="D94" i="2"/>
  <c r="F93" i="2"/>
  <c r="E93" i="2"/>
  <c r="D93" i="2"/>
  <c r="F92" i="2"/>
  <c r="E92" i="2"/>
  <c r="D92" i="2"/>
  <c r="F91" i="2"/>
  <c r="E91" i="2"/>
  <c r="D91" i="2"/>
  <c r="F90" i="2"/>
  <c r="E90" i="2"/>
  <c r="D90" i="2"/>
  <c r="F89" i="2"/>
  <c r="E89" i="2"/>
  <c r="D89" i="2"/>
  <c r="F88" i="2"/>
  <c r="E88" i="2"/>
  <c r="D88" i="2"/>
  <c r="F87" i="2"/>
  <c r="E87" i="2"/>
  <c r="D87" i="2"/>
  <c r="F86" i="2"/>
  <c r="E86" i="2"/>
  <c r="D86" i="2"/>
  <c r="F85" i="2"/>
  <c r="E85" i="2"/>
  <c r="D85" i="2"/>
  <c r="F84" i="2"/>
  <c r="E84" i="2"/>
  <c r="D84" i="2"/>
  <c r="F83" i="2"/>
  <c r="E83" i="2"/>
  <c r="D83" i="2"/>
  <c r="F82" i="2"/>
  <c r="E82" i="2"/>
  <c r="D82" i="2"/>
  <c r="F81" i="2"/>
  <c r="E81" i="2"/>
  <c r="D81" i="2"/>
  <c r="F80" i="2"/>
  <c r="E80" i="2"/>
  <c r="D80" i="2"/>
  <c r="F79" i="2"/>
  <c r="E79" i="2"/>
  <c r="D79" i="2"/>
  <c r="F78" i="2"/>
  <c r="E78" i="2"/>
  <c r="D78" i="2"/>
  <c r="F77" i="2"/>
  <c r="E77" i="2"/>
  <c r="D77" i="2"/>
  <c r="F76" i="2"/>
  <c r="E76" i="2"/>
  <c r="D76" i="2"/>
  <c r="F75" i="2"/>
  <c r="E75" i="2"/>
  <c r="D75" i="2"/>
  <c r="F74" i="2"/>
  <c r="E74" i="2"/>
  <c r="D74" i="2"/>
  <c r="F73" i="2"/>
  <c r="E73" i="2"/>
  <c r="D73" i="2"/>
  <c r="F72" i="2"/>
  <c r="E72" i="2"/>
  <c r="D72" i="2"/>
  <c r="F71" i="2"/>
  <c r="E71" i="2"/>
  <c r="D71" i="2"/>
  <c r="F70" i="2"/>
  <c r="E70" i="2"/>
  <c r="D70" i="2"/>
  <c r="F69" i="2"/>
  <c r="E69" i="2"/>
  <c r="D69" i="2"/>
  <c r="F68" i="2"/>
  <c r="E68" i="2"/>
  <c r="D68" i="2"/>
  <c r="F67" i="2"/>
  <c r="E67" i="2"/>
  <c r="D67" i="2"/>
  <c r="F66" i="2"/>
  <c r="E66" i="2"/>
  <c r="D66" i="2"/>
  <c r="F65" i="2"/>
  <c r="E65" i="2"/>
  <c r="D65" i="2"/>
  <c r="F64" i="2"/>
  <c r="E64" i="2"/>
  <c r="D64" i="2"/>
  <c r="F63" i="2"/>
  <c r="E63" i="2"/>
  <c r="D63" i="2"/>
  <c r="F62" i="2"/>
  <c r="E62" i="2"/>
  <c r="D62" i="2"/>
  <c r="F61" i="2"/>
  <c r="E61" i="2"/>
  <c r="D61" i="2"/>
  <c r="F60" i="2"/>
  <c r="E60" i="2"/>
  <c r="D60" i="2"/>
  <c r="F59" i="2"/>
  <c r="E59" i="2"/>
  <c r="D59" i="2"/>
  <c r="F58" i="2"/>
  <c r="E58" i="2"/>
  <c r="D58" i="2"/>
  <c r="F57" i="2"/>
  <c r="E57" i="2"/>
  <c r="D57" i="2"/>
  <c r="F56" i="2"/>
  <c r="E56" i="2"/>
  <c r="D56" i="2"/>
  <c r="F55" i="2"/>
  <c r="E55" i="2"/>
  <c r="D55" i="2"/>
  <c r="F54" i="2"/>
  <c r="E54" i="2"/>
  <c r="D54" i="2"/>
  <c r="F53" i="2"/>
  <c r="E53" i="2"/>
  <c r="D53" i="2"/>
  <c r="F52" i="2"/>
  <c r="E52" i="2"/>
  <c r="D52" i="2"/>
  <c r="F50" i="2"/>
  <c r="E50" i="2"/>
  <c r="D50" i="2"/>
  <c r="F49" i="2"/>
  <c r="E49" i="2"/>
  <c r="D49" i="2"/>
  <c r="F48" i="2"/>
  <c r="E48" i="2"/>
  <c r="D48" i="2"/>
  <c r="F47" i="2"/>
  <c r="E47" i="2"/>
  <c r="D47" i="2"/>
  <c r="F46" i="2"/>
  <c r="E46" i="2"/>
  <c r="D46" i="2"/>
  <c r="F45" i="2"/>
  <c r="E45" i="2"/>
  <c r="D45" i="2"/>
  <c r="F44" i="2"/>
  <c r="E44" i="2"/>
  <c r="D44" i="2"/>
  <c r="F43" i="2"/>
  <c r="E43" i="2"/>
  <c r="D43" i="2"/>
  <c r="F42" i="2"/>
  <c r="E42" i="2"/>
  <c r="D42" i="2"/>
  <c r="F41" i="2"/>
  <c r="E41" i="2"/>
  <c r="D41" i="2"/>
  <c r="F40" i="2"/>
  <c r="E40" i="2"/>
  <c r="D40" i="2"/>
  <c r="F39" i="2"/>
  <c r="E39" i="2"/>
  <c r="D39" i="2"/>
  <c r="F38" i="2"/>
  <c r="E38" i="2"/>
  <c r="D38" i="2"/>
  <c r="F37" i="2"/>
  <c r="E37" i="2"/>
  <c r="D37" i="2"/>
  <c r="F36" i="2"/>
  <c r="E36" i="2"/>
  <c r="D36" i="2"/>
  <c r="F35" i="2"/>
  <c r="E35" i="2"/>
  <c r="D35" i="2"/>
  <c r="F34" i="2"/>
  <c r="E34" i="2"/>
  <c r="D34" i="2"/>
  <c r="F33" i="2"/>
  <c r="E33" i="2"/>
  <c r="D33" i="2"/>
  <c r="F32" i="2"/>
  <c r="E32" i="2"/>
  <c r="D32" i="2"/>
  <c r="F31" i="2"/>
  <c r="E31" i="2"/>
  <c r="D31" i="2"/>
  <c r="F30" i="2"/>
  <c r="E30" i="2"/>
  <c r="D30" i="2"/>
  <c r="F29" i="2"/>
  <c r="E29" i="2"/>
  <c r="D29" i="2"/>
  <c r="F28" i="2"/>
  <c r="E28" i="2"/>
  <c r="D28" i="2"/>
  <c r="F27" i="2"/>
  <c r="E27" i="2"/>
  <c r="D27" i="2"/>
  <c r="F26" i="2"/>
  <c r="E26" i="2"/>
  <c r="D26" i="2"/>
  <c r="F25" i="2"/>
  <c r="E25" i="2"/>
  <c r="D25" i="2"/>
  <c r="F24" i="2"/>
  <c r="E24" i="2"/>
  <c r="D24" i="2"/>
  <c r="F23" i="2"/>
  <c r="E23" i="2"/>
  <c r="D23" i="2"/>
  <c r="F22" i="2"/>
  <c r="E22" i="2"/>
  <c r="D22" i="2"/>
  <c r="F21" i="2"/>
  <c r="E21" i="2"/>
  <c r="D21" i="2"/>
  <c r="F20" i="2"/>
  <c r="E20" i="2"/>
  <c r="D20" i="2"/>
  <c r="F19" i="2"/>
  <c r="E19" i="2"/>
  <c r="D19" i="2"/>
  <c r="F18" i="2"/>
  <c r="E18" i="2"/>
  <c r="D18" i="2"/>
  <c r="F17" i="2"/>
  <c r="E17" i="2"/>
  <c r="D17" i="2"/>
  <c r="F16" i="2"/>
  <c r="E16" i="2"/>
  <c r="D16" i="2"/>
  <c r="F15" i="2"/>
  <c r="E15" i="2"/>
  <c r="D15" i="2"/>
  <c r="F14" i="2"/>
  <c r="E14" i="2"/>
  <c r="D14" i="2"/>
  <c r="F13" i="2"/>
  <c r="E13" i="2"/>
  <c r="D13" i="2"/>
  <c r="F12" i="2"/>
  <c r="E12" i="2"/>
  <c r="D12" i="2"/>
  <c r="F11" i="2"/>
  <c r="E11" i="2"/>
  <c r="D11" i="2"/>
  <c r="F10" i="2"/>
  <c r="E10" i="2"/>
  <c r="D10" i="2"/>
  <c r="F9" i="2"/>
  <c r="E9" i="2"/>
  <c r="D9" i="2"/>
  <c r="F8" i="2"/>
  <c r="E8" i="2"/>
  <c r="D8" i="2"/>
  <c r="F7" i="2"/>
  <c r="E7" i="2"/>
  <c r="D7" i="2"/>
  <c r="F6" i="2"/>
  <c r="E6" i="2"/>
  <c r="D6" i="2"/>
  <c r="F5" i="2"/>
  <c r="E5" i="2"/>
  <c r="D5" i="2"/>
  <c r="F4" i="2"/>
  <c r="E4" i="2"/>
  <c r="D4" i="2"/>
  <c r="F3" i="2"/>
  <c r="E3" i="2"/>
  <c r="D3" i="2"/>
  <c r="F66" i="1"/>
  <c r="E66" i="1"/>
  <c r="D66" i="1"/>
  <c r="F65" i="1"/>
  <c r="E65" i="1"/>
  <c r="D65" i="1"/>
  <c r="F64" i="1"/>
  <c r="E64" i="1"/>
  <c r="D64" i="1"/>
  <c r="F63" i="1"/>
  <c r="E63" i="1"/>
  <c r="D63" i="1"/>
  <c r="F62" i="1"/>
  <c r="E62" i="1"/>
  <c r="D62" i="1"/>
  <c r="F61" i="1"/>
  <c r="E61" i="1"/>
  <c r="D61" i="1"/>
  <c r="F60" i="1"/>
  <c r="E60" i="1"/>
  <c r="D60" i="1"/>
  <c r="F59" i="1"/>
  <c r="E59" i="1"/>
  <c r="D59" i="1"/>
  <c r="F58" i="1"/>
  <c r="E58" i="1"/>
  <c r="D58" i="1"/>
  <c r="F57" i="1"/>
  <c r="E57" i="1"/>
  <c r="D57" i="1"/>
  <c r="F56" i="1"/>
  <c r="E56" i="1"/>
  <c r="D56" i="1"/>
  <c r="F55" i="1"/>
  <c r="E55" i="1"/>
  <c r="D55" i="1"/>
  <c r="F54" i="1"/>
  <c r="E54" i="1"/>
  <c r="D54" i="1"/>
  <c r="F53" i="1"/>
  <c r="E53" i="1"/>
  <c r="D53" i="1"/>
  <c r="F52" i="1"/>
  <c r="E52" i="1"/>
  <c r="D52" i="1"/>
  <c r="F51" i="1"/>
  <c r="E51" i="1"/>
  <c r="D51" i="1"/>
  <c r="F50" i="1"/>
  <c r="E50" i="1"/>
  <c r="D50" i="1"/>
  <c r="F49" i="1"/>
  <c r="E49" i="1"/>
  <c r="D49" i="1"/>
  <c r="F48" i="1"/>
  <c r="E48" i="1"/>
  <c r="D48" i="1"/>
  <c r="F47" i="1"/>
  <c r="E47" i="1"/>
  <c r="D47" i="1"/>
  <c r="F46" i="1"/>
  <c r="E46" i="1"/>
  <c r="D46" i="1"/>
  <c r="F45" i="1"/>
  <c r="E45" i="1"/>
  <c r="D45" i="1"/>
  <c r="F44" i="1"/>
  <c r="E44" i="1"/>
  <c r="D44" i="1"/>
  <c r="F43" i="1"/>
  <c r="E43" i="1"/>
  <c r="D43" i="1"/>
  <c r="F42" i="1"/>
  <c r="E42" i="1"/>
  <c r="D42" i="1"/>
  <c r="F41" i="1"/>
  <c r="E41" i="1"/>
  <c r="D41" i="1"/>
  <c r="F40" i="1"/>
  <c r="E40" i="1"/>
  <c r="D40" i="1"/>
  <c r="F39" i="1"/>
  <c r="E39" i="1"/>
  <c r="D39" i="1"/>
  <c r="F38" i="1"/>
  <c r="E38" i="1"/>
  <c r="D38" i="1"/>
  <c r="F37" i="1"/>
  <c r="E37" i="1"/>
  <c r="D37" i="1"/>
  <c r="F36" i="1"/>
  <c r="E36" i="1"/>
  <c r="D36" i="1"/>
  <c r="F35" i="1"/>
  <c r="E35" i="1"/>
  <c r="D35" i="1"/>
  <c r="F34" i="1"/>
  <c r="E34" i="1"/>
  <c r="D34" i="1"/>
  <c r="F33" i="1"/>
  <c r="E33" i="1"/>
  <c r="D33" i="1"/>
  <c r="F32" i="1"/>
  <c r="E32" i="1"/>
  <c r="D32" i="1"/>
  <c r="F31" i="1"/>
  <c r="E31" i="1"/>
  <c r="D31" i="1"/>
  <c r="F30" i="1"/>
  <c r="E30" i="1"/>
  <c r="D30" i="1"/>
  <c r="F29" i="1"/>
  <c r="E29" i="1"/>
  <c r="D29" i="1"/>
  <c r="F28" i="1"/>
  <c r="E28" i="1"/>
  <c r="D28" i="1"/>
  <c r="F27" i="1"/>
  <c r="E27" i="1"/>
  <c r="D27" i="1"/>
  <c r="F26" i="1"/>
  <c r="E26" i="1"/>
  <c r="D26" i="1"/>
  <c r="F25" i="1"/>
  <c r="E25" i="1"/>
  <c r="F24" i="1"/>
  <c r="E24" i="1"/>
  <c r="D24" i="1"/>
  <c r="F23" i="1"/>
  <c r="E23" i="1"/>
  <c r="D23" i="1"/>
  <c r="F22" i="1"/>
  <c r="E22" i="1"/>
  <c r="D22" i="1"/>
  <c r="F21" i="1"/>
  <c r="E21" i="1"/>
  <c r="D21" i="1"/>
  <c r="F20" i="1"/>
  <c r="E20" i="1"/>
  <c r="F19" i="1"/>
  <c r="E19" i="1"/>
  <c r="D19" i="1"/>
  <c r="F18" i="1"/>
  <c r="E18" i="1"/>
  <c r="D18" i="1"/>
  <c r="F17" i="1"/>
  <c r="E17" i="1"/>
  <c r="F16" i="1"/>
  <c r="E16" i="1"/>
  <c r="D16" i="1"/>
  <c r="F15" i="1"/>
  <c r="E15" i="1"/>
  <c r="D15" i="1"/>
  <c r="F14" i="1"/>
  <c r="E14" i="1"/>
  <c r="D14" i="1"/>
  <c r="F13" i="1"/>
  <c r="E13" i="1"/>
  <c r="D13" i="1"/>
  <c r="F12" i="1"/>
  <c r="E12" i="1"/>
  <c r="D12" i="1"/>
  <c r="F11" i="1"/>
  <c r="E11" i="1"/>
  <c r="E10" i="1"/>
  <c r="D10" i="1"/>
  <c r="F9" i="1"/>
  <c r="E9" i="1"/>
  <c r="D9" i="1"/>
  <c r="F8" i="1"/>
  <c r="E8" i="1"/>
  <c r="D8" i="1"/>
  <c r="F7" i="1"/>
  <c r="E7" i="1"/>
  <c r="D7" i="1"/>
  <c r="F6" i="1"/>
  <c r="E6" i="1"/>
  <c r="D6" i="1"/>
  <c r="F5" i="1"/>
  <c r="E5" i="1"/>
  <c r="D5" i="1"/>
  <c r="F4" i="1"/>
  <c r="E4" i="1"/>
  <c r="D4" i="1"/>
  <c r="E3" i="1"/>
</calcChain>
</file>

<file path=xl/sharedStrings.xml><?xml version="1.0" encoding="utf-8"?>
<sst xmlns="http://schemas.openxmlformats.org/spreadsheetml/2006/main" count="1781" uniqueCount="707">
  <si>
    <t>EN</t>
  </si>
  <si>
    <t>SP</t>
  </si>
  <si>
    <t>FR</t>
  </si>
  <si>
    <t>IT</t>
  </si>
  <si>
    <t xml:space="preserve"> REPAIR CATALOGUE VS1</t>
  </si>
  <si>
    <t>MANUAL DE REPARACIÓN VS1</t>
  </si>
  <si>
    <t>MANUEL DE RÉPARATION VS1</t>
  </si>
  <si>
    <t>MANUALE DI RIPARAZIONE VS1</t>
  </si>
  <si>
    <t>Chapter I   Electrical Parts Disassembly</t>
  </si>
  <si>
    <t>Capítulo I Desmontaje piezas eléctricas</t>
  </si>
  <si>
    <t>Capitolo 1 Smontaggio componenti eléttrici</t>
  </si>
  <si>
    <t>A-1</t>
  </si>
  <si>
    <t>Headlight</t>
  </si>
  <si>
    <t>A-2</t>
  </si>
  <si>
    <t>Speedometer</t>
  </si>
  <si>
    <t>A-3</t>
  </si>
  <si>
    <t>Right switch  assembly</t>
  </si>
  <si>
    <t>A-4</t>
  </si>
  <si>
    <t>Left switch assembly</t>
  </si>
  <si>
    <t>A-5</t>
  </si>
  <si>
    <t>Converter</t>
  </si>
  <si>
    <t>A-6</t>
  </si>
  <si>
    <t>Alarm</t>
  </si>
  <si>
    <t>A-7</t>
  </si>
  <si>
    <t>Horn</t>
  </si>
  <si>
    <t>Clacson</t>
  </si>
  <si>
    <t>A-8</t>
  </si>
  <si>
    <t>Flasher</t>
  </si>
  <si>
    <t>Relee intermitente</t>
  </si>
  <si>
    <t>A-9</t>
  </si>
  <si>
    <t>Battery</t>
  </si>
  <si>
    <t>A-10</t>
  </si>
  <si>
    <t>Controller Unit</t>
  </si>
  <si>
    <t>A-11</t>
  </si>
  <si>
    <t>Motor</t>
  </si>
  <si>
    <t>A-12</t>
  </si>
  <si>
    <t>Electronic seat lock unit</t>
  </si>
  <si>
    <t>A-13</t>
  </si>
  <si>
    <t>Circuit protector</t>
  </si>
  <si>
    <t>A-14</t>
  </si>
  <si>
    <t>Front winker unit</t>
  </si>
  <si>
    <t>Indicadores Delanteros</t>
  </si>
  <si>
    <t>A-15</t>
  </si>
  <si>
    <t>USB interface</t>
  </si>
  <si>
    <t>A-16</t>
  </si>
  <si>
    <t>Taillight Assy</t>
  </si>
  <si>
    <t>A-17</t>
  </si>
  <si>
    <t>Rear winker</t>
  </si>
  <si>
    <t>Indicadores Traseros</t>
  </si>
  <si>
    <t>A-18</t>
  </si>
  <si>
    <t>Side stand switch set</t>
  </si>
  <si>
    <t>A-19</t>
  </si>
  <si>
    <t>Vehicle charging socket</t>
  </si>
  <si>
    <t>Chapter II Mechanical Parts Disassembly</t>
  </si>
  <si>
    <t>B-0</t>
  </si>
  <si>
    <t>Front basket</t>
  </si>
  <si>
    <t>B-1</t>
  </si>
  <si>
    <t>Front cover</t>
  </si>
  <si>
    <t>Escudo Frontal</t>
  </si>
  <si>
    <t>B-2</t>
  </si>
  <si>
    <t>Rear carrier</t>
  </si>
  <si>
    <t>B-3</t>
  </si>
  <si>
    <t>Electric plate</t>
  </si>
  <si>
    <t>B-4</t>
  </si>
  <si>
    <t>Rear center cover</t>
  </si>
  <si>
    <t>B-5</t>
  </si>
  <si>
    <t>Left and right front shields</t>
  </si>
  <si>
    <t>B-6</t>
  </si>
  <si>
    <t>Headlight cover</t>
  </si>
  <si>
    <t>B-7</t>
  </si>
  <si>
    <t>Pedal</t>
  </si>
  <si>
    <t>B-8</t>
  </si>
  <si>
    <t>(Left/right) Cover strip</t>
  </si>
  <si>
    <t>B-9</t>
  </si>
  <si>
    <t>Hook</t>
  </si>
  <si>
    <t>B-10</t>
  </si>
  <si>
    <t>Lock cover</t>
  </si>
  <si>
    <t>B-11</t>
  </si>
  <si>
    <t>Main girder cover</t>
  </si>
  <si>
    <t>B-12</t>
  </si>
  <si>
    <t>Glovebox</t>
  </si>
  <si>
    <t>B-13</t>
  </si>
  <si>
    <t>VIN cover</t>
  </si>
  <si>
    <t>B-14</t>
  </si>
  <si>
    <t>Headlight rear cover</t>
  </si>
  <si>
    <t>B-15</t>
  </si>
  <si>
    <t>Left/right advertising plate</t>
  </si>
  <si>
    <t>B-16</t>
  </si>
  <si>
    <t>Rear bottom cover</t>
  </si>
  <si>
    <t>B-17</t>
  </si>
  <si>
    <t>Front lower cover</t>
  </si>
  <si>
    <t>B-18</t>
  </si>
  <si>
    <t>Bottom cover</t>
  </si>
  <si>
    <t>B-19</t>
  </si>
  <si>
    <t>left/right guide cowl</t>
  </si>
  <si>
    <t>B-20</t>
  </si>
  <si>
    <t>Center cover</t>
  </si>
  <si>
    <t>B-21</t>
  </si>
  <si>
    <t>Left/right body cover</t>
  </si>
  <si>
    <t>B-22</t>
  </si>
  <si>
    <t>Rear swingarm cover</t>
  </si>
  <si>
    <t>B-23</t>
  </si>
  <si>
    <t>Battery compartment cover</t>
  </si>
  <si>
    <t>B-24</t>
  </si>
  <si>
    <t>Luggage box</t>
  </si>
  <si>
    <t>B-25</t>
  </si>
  <si>
    <t>Center left/right side shield</t>
  </si>
  <si>
    <t>B-26</t>
  </si>
  <si>
    <t>Brake lever</t>
  </si>
  <si>
    <t>B-27</t>
  </si>
  <si>
    <t>CBS</t>
  </si>
  <si>
    <t>B-28</t>
  </si>
  <si>
    <t>Front fender</t>
  </si>
  <si>
    <t>B-29</t>
  </si>
  <si>
    <t>Rear shock absorber</t>
  </si>
  <si>
    <t>B-30</t>
  </si>
  <si>
    <t>Rear fender</t>
  </si>
  <si>
    <t>B-31</t>
  </si>
  <si>
    <t>Rear fender bracket</t>
  </si>
  <si>
    <t>B-32</t>
  </si>
  <si>
    <t>Rear wheel assy</t>
  </si>
  <si>
    <t>B-33</t>
  </si>
  <si>
    <t>Left handle grip</t>
  </si>
  <si>
    <t>B-34</t>
  </si>
  <si>
    <t>Handlebar</t>
  </si>
  <si>
    <t>B-35</t>
  </si>
  <si>
    <t>Post comp，Hanlde</t>
  </si>
  <si>
    <t>B-36</t>
  </si>
  <si>
    <t>Steering stem</t>
  </si>
  <si>
    <t>B-37</t>
  </si>
  <si>
    <t>Vehicle lockset</t>
  </si>
  <si>
    <t>B-38</t>
  </si>
  <si>
    <t>Front shock absorber</t>
  </si>
  <si>
    <t>B-39</t>
  </si>
  <si>
    <t>Front wheel assy</t>
  </si>
  <si>
    <t>B-40</t>
  </si>
  <si>
    <t>Side stand</t>
  </si>
  <si>
    <t>B-41</t>
  </si>
  <si>
    <t>Main stand</t>
  </si>
  <si>
    <t>B-42</t>
  </si>
  <si>
    <t>Front/rear brake disc</t>
  </si>
  <si>
    <t>A1 - Headlight assembly</t>
  </si>
  <si>
    <t>A1 - Desmontaje Faro</t>
  </si>
  <si>
    <t>A1 - Suppression des phares</t>
  </si>
  <si>
    <t>A1 - Smontaggio Faro</t>
  </si>
  <si>
    <t>Nº</t>
  </si>
  <si>
    <t>Preparation:</t>
  </si>
  <si>
    <t>Remarks</t>
  </si>
  <si>
    <t>Remove the front basket -B0</t>
  </si>
  <si>
    <t>Remove the front cover - B1</t>
  </si>
  <si>
    <t>Steps</t>
  </si>
  <si>
    <t>Description</t>
  </si>
  <si>
    <t>Picture</t>
  </si>
  <si>
    <t>Remove the four screws in the red circle with a phillips screwdriver</t>
  </si>
  <si>
    <t xml:space="preserve">
Unplug the headlight connector and front winkers connector and take out the headlight assembly
</t>
  </si>
  <si>
    <t>A2 - Speedometer assembly</t>
  </si>
  <si>
    <t>Remove the front basket - B0</t>
  </si>
  <si>
    <t>Remove the Electric plate - B3</t>
  </si>
  <si>
    <t>Remove the two bolts of the speedometer bracket and remove the speedometer assembly with 5mm inner hexagon</t>
  </si>
  <si>
    <t>Remove 2 nuts from speedometer bottom shell with 10mm nail sleeve</t>
  </si>
  <si>
    <t>A3 - Right switch assembly</t>
  </si>
  <si>
    <t>Remove the speedometer bracket - A2</t>
  </si>
  <si>
    <t>Unplug the right switch assembly connector, turn the handle connector and unplug the harness</t>
  </si>
  <si>
    <t>Remove the right brake upper pump assembly fixing bolt with an 8mm wrench</t>
  </si>
  <si>
    <t>Remove the right switch assembly of 2 screws with a phillips screwdriver (marked in the picture)</t>
  </si>
  <si>
    <t>Remove the bolts with 5mm inner hexagon wrench and remove the handle weight</t>
  </si>
  <si>
    <t>A4 - Left switch assembly</t>
  </si>
  <si>
    <t>Unplug left switch assembly connector unplug harness</t>
  </si>
  <si>
    <t>Remove the right brake upper pump assembly retaining bolt with an 8mm wrench</t>
  </si>
  <si>
    <t>Remove the 2 screws in the left switch assembly with a phillips screwdriver (marked in the figure)</t>
  </si>
  <si>
    <t>A5 -Converter</t>
  </si>
  <si>
    <t>Remove the two screws in the red circle with a phillips screwdriver</t>
  </si>
  <si>
    <t>Unplug the converter connector.</t>
  </si>
  <si>
    <t>A6 - Alarm</t>
  </si>
  <si>
    <t>Arrow points to the components is the alarm , with a screwdriver to remove two screws</t>
  </si>
  <si>
    <t>A7 - Horn</t>
  </si>
  <si>
    <t>07 Bocina</t>
  </si>
  <si>
    <t>07 Klaxon</t>
  </si>
  <si>
    <t>07 Clacson</t>
  </si>
  <si>
    <t xml:space="preserve">
Unplug the horn connector</t>
  </si>
  <si>
    <t xml:space="preserve">
Remove the fixing bolts of the horn bracket with a 10mm socket wrench and remove the horn</t>
  </si>
  <si>
    <t>A8 - Flasher</t>
  </si>
  <si>
    <t xml:space="preserve">
Remove the flasher rubber bracket</t>
  </si>
  <si>
    <t xml:space="preserve">
Unplug the flasher connector and remove the flasher</t>
  </si>
  <si>
    <t>A9 - Battery</t>
  </si>
  <si>
    <t>Take out the Battery compartment cover - B23</t>
  </si>
  <si>
    <t xml:space="preserve">
Power off switch
</t>
  </si>
  <si>
    <t xml:space="preserve">
Power off circuit protection switch</t>
  </si>
  <si>
    <t xml:space="preserve">
Unscrew the battery bend buckle and pull out the battery connecting cable</t>
  </si>
  <si>
    <t>A10 - Controller</t>
  </si>
  <si>
    <t>Take out the battery compartment cover - B23</t>
  </si>
  <si>
    <t>Remove the Luggage box - B24</t>
  </si>
  <si>
    <t xml:space="preserve">
Unplug the controller plug and the motor hall plug</t>
  </si>
  <si>
    <t>Remove 5 screws with a phillips screwdriver and remove the terminal line of the controller (phase line, positive and negative).</t>
  </si>
  <si>
    <t xml:space="preserve">
Remove 3 screws with a phillips screwdriver and remove the controller fixing bracket. Remove the controller</t>
  </si>
  <si>
    <t>A11 - Motor</t>
  </si>
  <si>
    <t xml:space="preserve">
Unplug main line and motor hall plug</t>
  </si>
  <si>
    <t xml:space="preserve">
Remove 3 screws with a phillips screwdriver and remove the terminal line of the controller (phase line)</t>
  </si>
  <si>
    <t xml:space="preserve">
Remove a screw with 10mm sleeve and remove the motor fixing bracket</t>
  </si>
  <si>
    <t xml:space="preserve">
Remove two bolts and flat fork guard with 5mm inner hexagon</t>
  </si>
  <si>
    <t xml:space="preserve">
Remove the rear brake caliper assembly fixing bolts with a 12mm wrench</t>
  </si>
  <si>
    <t xml:space="preserve">
Loosen the nut with the special sleeve of the motor nut and remove the motor</t>
  </si>
  <si>
    <t>A12 - Electronic seat lock</t>
  </si>
  <si>
    <t xml:space="preserve">
Remove the seat latch</t>
  </si>
  <si>
    <t xml:space="preserve">
Unplug the electronic seat latch</t>
  </si>
  <si>
    <t>Remove 2 screws with a phillips screwdriver and remove the seat lock assembly</t>
  </si>
  <si>
    <t>A13 - Circuit protector</t>
  </si>
  <si>
    <t>Take out the battery compartment  cover - B23</t>
  </si>
  <si>
    <t xml:space="preserve">
Turn off the circuit protector, loosen the two power connections with a phillips screwdriver,
Unplug the power cable</t>
  </si>
  <si>
    <t xml:space="preserve">
Open the lower button and pull it out. Take out the circuit protector</t>
  </si>
  <si>
    <t>A14 - Front winker</t>
  </si>
  <si>
    <t>14 Indicadores delanteros</t>
  </si>
  <si>
    <t xml:space="preserve">
Unplug  left and right front winker connectors</t>
  </si>
  <si>
    <t xml:space="preserve">
Remove the retaining nut with a 14mm open wrench and remove the front winkers</t>
  </si>
  <si>
    <t>A15 - USB interface</t>
  </si>
  <si>
    <t xml:space="preserve">
Unplug the USB connector,</t>
  </si>
  <si>
    <t xml:space="preserve">
Push back the USB interface and take it out</t>
  </si>
  <si>
    <t>A16 - Taillight</t>
  </si>
  <si>
    <t>A16 - Luz trasera</t>
  </si>
  <si>
    <t>Remove the Luggage box - B23</t>
  </si>
  <si>
    <t>Remove the back shelf - B2</t>
  </si>
  <si>
    <t>Remove the rear center cover - B4</t>
  </si>
  <si>
    <t xml:space="preserve">
Unplug the taillight wiring harness</t>
  </si>
  <si>
    <t xml:space="preserve">
Remove the three screws in the red circle with a phillips screwdriver and remove the taillight</t>
  </si>
  <si>
    <t>A17 - Rear winker</t>
  </si>
  <si>
    <t xml:space="preserve">
Unplug left and right rear winkers connectors</t>
  </si>
  <si>
    <t xml:space="preserve">
Remove the retaining nut with a 14mm open wrench and remove the rear winkers</t>
  </si>
  <si>
    <t>A18 - Side stand switch set</t>
  </si>
  <si>
    <t>Remove the left and right front shields - B5</t>
  </si>
  <si>
    <t>Take off the pedal - B7</t>
  </si>
  <si>
    <t>Remove the battery compartment cover - B23</t>
  </si>
  <si>
    <t xml:space="preserve">
Unplug power switch (left and right)</t>
  </si>
  <si>
    <t xml:space="preserve">
Remove 2 screws with a phillips screwdriver and remove the side stand switch set.</t>
  </si>
  <si>
    <t>A19 - Vehicle charging socket</t>
  </si>
  <si>
    <t xml:space="preserve">
Power off switch</t>
  </si>
  <si>
    <t xml:space="preserve">
Power off circuit protector</t>
  </si>
  <si>
    <t xml:space="preserve">
Remove 1 screw with a phillips screwdriver and remove the clamp</t>
  </si>
  <si>
    <t xml:space="preserve">
Unplugthe power cord and communication connector </t>
  </si>
  <si>
    <t xml:space="preserve">
Remove the charging socket fixing screw with a phillips screwdriver and pull out the charging socket</t>
  </si>
  <si>
    <t>B0 - Front basket Assembly</t>
  </si>
  <si>
    <t>Use 12mm nail sleeve to remove the three bolts in the red circle and the front basket</t>
  </si>
  <si>
    <t>B1 - Front cover Assembly</t>
  </si>
  <si>
    <t>B-1 Montaje Escudo Frontal</t>
  </si>
  <si>
    <t xml:space="preserve">
Remove the two screws in the red circle with a phillips screwdriver and remove the front cover</t>
  </si>
  <si>
    <t>B2 - Rear carrier</t>
  </si>
  <si>
    <t xml:space="preserve">
Use 12mm nail sleeve to remove the three bolts in the red circle and the rear carrier</t>
  </si>
  <si>
    <t>B3 - Electric plate</t>
  </si>
  <si>
    <t>Use 10mm sleeve to remove the three screws in the red circle and remove the electric plate.</t>
  </si>
  <si>
    <t>B4 - Rear center cover</t>
  </si>
  <si>
    <t>Take out the lithium battery - A9</t>
  </si>
  <si>
    <t>Luggage box - B24</t>
  </si>
  <si>
    <t>Remove the seat latch</t>
  </si>
  <si>
    <t>Remove the left and right 3 screws in the red circle with a phillips screwdriver and remove the rear center cover</t>
  </si>
  <si>
    <t>B5 - Left and right front shields</t>
  </si>
  <si>
    <t>Remove the left and right 2 screws from the red circle with a phillips screwdriver</t>
  </si>
  <si>
    <t>Use a phillips screwdriver to remove the left and right screws in the red circle of the main girder cover and remove the left and right front shields</t>
  </si>
  <si>
    <t>B6 -  Headlight cover</t>
  </si>
  <si>
    <t>Remove the headlight assembly - A1</t>
  </si>
  <si>
    <t>Take down the left and right front winkers - A14</t>
  </si>
  <si>
    <t>Take off the headlight after the above preparation work</t>
  </si>
  <si>
    <t>B7 - Pedal</t>
  </si>
  <si>
    <t>Remove the four bolts in the red circle with a 10mm nail sleeve and take out the pedal</t>
  </si>
  <si>
    <t>B8 -  (Left/right) Cover strip</t>
  </si>
  <si>
    <t>Remove the left and right 7 screws in the red circle with a phillips screwdriver and take out the cover strip</t>
  </si>
  <si>
    <t>B9 - Hook</t>
  </si>
  <si>
    <t>Remove one bolt from the red circle with a 10mm nail sleeve and take out the hook</t>
  </si>
  <si>
    <t>B10 - LOCK COVER</t>
  </si>
  <si>
    <t>Turn the lock cover to the left to remove the power cover</t>
  </si>
  <si>
    <t>B1 1 - Main girder cover</t>
  </si>
  <si>
    <t xml:space="preserve">
Remove the front basket - B0</t>
  </si>
  <si>
    <t xml:space="preserve">
Remove the front cover - B1</t>
  </si>
  <si>
    <t>Remove the (left/right) cover strip - B8</t>
  </si>
  <si>
    <t>Remove the hook - B9</t>
  </si>
  <si>
    <t>Remove the power lock cover - B10</t>
  </si>
  <si>
    <t>Remove the left and right 2 screws in the red circle of the front lower cover with a phillips screwdriver</t>
  </si>
  <si>
    <t>Use a phillips screwdriver to remove the left and right screws in the red circle of the main girder cover and remove the main girder cover</t>
  </si>
  <si>
    <t>B12 - Glove box</t>
  </si>
  <si>
    <t>Remove the main girder cover - B11</t>
  </si>
  <si>
    <t>Remove the left and right 2 screws in the red circle of the front lower cover with a phillips screwdriver and remove the glove box</t>
  </si>
  <si>
    <t>B13 - VIN Cover</t>
  </si>
  <si>
    <t>Using straight screwdriver to pry out the VIN cover in the red circle</t>
  </si>
  <si>
    <t>B14 - Headlight rear cover</t>
  </si>
  <si>
    <t xml:space="preserve"> Remove front basket - B0</t>
  </si>
  <si>
    <t xml:space="preserve">
Remove front cover -B1</t>
  </si>
  <si>
    <t xml:space="preserve"> Remove headlight assembly - A1</t>
  </si>
  <si>
    <t>Remove right and left front side shields - B5</t>
  </si>
  <si>
    <t>Remove right and left front winkers - A14</t>
  </si>
  <si>
    <t>Remove headlight cover - B6</t>
  </si>
  <si>
    <t>Remove 4 screws marked in photo with phillips screwdriver.</t>
  </si>
  <si>
    <t>B15 - left/right advsrtising plate</t>
  </si>
  <si>
    <t>Remove the left and right two bolts with 5mm inner hexagon, pull outward and then remove the left/right advsrtising plate</t>
  </si>
  <si>
    <t>B16 - Rear bottom cover</t>
  </si>
  <si>
    <t xml:space="preserve"> Remove luggage box - B23</t>
  </si>
  <si>
    <t>Remove rear carrier - B2</t>
  </si>
  <si>
    <t>Remove rear central cover- B4</t>
  </si>
  <si>
    <t>Unplug left and right winkers connectors</t>
  </si>
  <si>
    <t>Remove 4 screws in right photo with phillips screwdriver.</t>
  </si>
  <si>
    <t xml:space="preserve">Remove 8 screws in right photo with phillips screwdriver and then remove rear bottom cover </t>
  </si>
  <si>
    <t>B17 -  Front bottom cover</t>
  </si>
  <si>
    <t>Remove front basket - B0</t>
  </si>
  <si>
    <t>Remove front cover - B1</t>
  </si>
  <si>
    <t>Remove right and left front side shield - B5</t>
  </si>
  <si>
    <t>Remove pedal - B7</t>
  </si>
  <si>
    <t>Remove (left/right) cover strip - B8</t>
  </si>
  <si>
    <t>Remove hook - B9</t>
  </si>
  <si>
    <t>Remove Main Girder Cover - B11</t>
  </si>
  <si>
    <t>Remover Rr Cover of headlight - B14</t>
  </si>
  <si>
    <t>Remove one bolt from the red circle with a 10mm nail sleeve</t>
  </si>
  <si>
    <t>Remove the 4 bolts in the red circle with a 10mm nail sleeve and remove the front bottom cover</t>
  </si>
  <si>
    <t>B18 -  The bottom cover</t>
  </si>
  <si>
    <t>Remove the left and right front side shields - B5</t>
  </si>
  <si>
    <t>Remove the headlamp cover - B14</t>
  </si>
  <si>
    <t>Remove the front lower cover - B17</t>
  </si>
  <si>
    <t>Use a phillips screwdriver to remove the left and right 2 screws in the red circle and remove the cover of the headlight</t>
  </si>
  <si>
    <t>B19 - left/right guide cowl</t>
  </si>
  <si>
    <t>Take out the luggage box - B24</t>
  </si>
  <si>
    <t>Remove the left and right 4 screws in the red circle with a phillips screwdriver and take down the left and right guide cowl.</t>
  </si>
  <si>
    <t>B20 - Center cover</t>
  </si>
  <si>
    <t>Take out the pedal - B7</t>
  </si>
  <si>
    <t>Use a phillips screwdriver to remove the 1 screw in the red circle and remove the charging socket wire connector</t>
  </si>
  <si>
    <t>Remove the 3 screws from the red circle with a phillips screwdriver</t>
  </si>
  <si>
    <t xml:space="preserve">
Remove the 2 screws in the red circle with a phillips screwdriver and remove the center cover </t>
  </si>
  <si>
    <t>B21 - Left/right body cover</t>
  </si>
  <si>
    <t>After taking out the center cover - B20</t>
  </si>
  <si>
    <t>Take out the left and right guide cowl - B19</t>
  </si>
  <si>
    <t xml:space="preserve">
Remove the left and right screws from the red circle with a phillips screwdriver</t>
  </si>
  <si>
    <t xml:space="preserve">
With a phillips screwdriver, remove the left and right screws in the red circle and remove the whole</t>
  </si>
  <si>
    <t xml:space="preserve">
Remove the left and right screws in the red circle with a phillips screwdriver and remove the left and right body covers</t>
  </si>
  <si>
    <t>B22 - Rear swingarm cover</t>
  </si>
  <si>
    <t xml:space="preserve">
Remove three bolts with 5mm inner hexagon，then remove the rear swingarm cover.</t>
  </si>
  <si>
    <t>B23 - Battery compartment cover</t>
  </si>
  <si>
    <t>Open the seat lock</t>
  </si>
  <si>
    <t>Remove the battery compartment cover</t>
  </si>
  <si>
    <t>B24 - Luggage box</t>
  </si>
  <si>
    <t xml:space="preserve">n </t>
  </si>
  <si>
    <t xml:space="preserve">
Use a 10mm nail sleeve to remove the four screws in the red circle, and the luggage box</t>
  </si>
  <si>
    <t>B25 - Center left/right side shield</t>
  </si>
  <si>
    <t>Take out the lithium battery - A12</t>
  </si>
  <si>
    <t>Take out the rear center cover - B4</t>
  </si>
  <si>
    <t>Take out the body left/right side cover - B21</t>
  </si>
  <si>
    <t>After completing the above preparations, remove the center left/right side shield</t>
  </si>
  <si>
    <t>B26 - Brake lever</t>
  </si>
  <si>
    <t xml:space="preserve">
Use a 10mm socket wrench to remove the two bolts and nuts in the red circle, and remove the brake lever.</t>
  </si>
  <si>
    <t>B27 - CBS</t>
  </si>
  <si>
    <t>Remove the pedal - B7</t>
  </si>
  <si>
    <t xml:space="preserve">
Use 5mm inner hexagon to remove the two bolts of the speedometer bracket and remove the speedometer assembly</t>
  </si>
  <si>
    <t xml:space="preserve">
Unplug the brake switch connector and unplug the wiring harness</t>
  </si>
  <si>
    <t xml:space="preserve">
Use 8mm wrench to remove left/right brake upper pump assembly fixing bolt</t>
  </si>
  <si>
    <t xml:space="preserve">
Use a 10mm sleeve to remove the front oil tube bracket bolts in the red circle</t>
  </si>
  <si>
    <t xml:space="preserve">
Use a 10mm sleeve to remove the fixing bolts of the red circle center sub-pump</t>
  </si>
  <si>
    <t xml:space="preserve">
Use a 12mm sleeve to disassemble the 2 fixing bolts of the front and rear caliper brackets in the red circle, and remove the CBS assembly</t>
  </si>
  <si>
    <t>B28 - Front fender</t>
  </si>
  <si>
    <t xml:space="preserve">
Use a 5mm Allen key to remove the two screws on the left and right of the red circle of the front fender, and then remove the front fender</t>
  </si>
  <si>
    <t>B29 - Rear Shock Absorber</t>
  </si>
  <si>
    <t>Take out the rear swingarm cover - B22</t>
  </si>
  <si>
    <t xml:space="preserve">
Use a 14mm socket wrench to remove the 2 bolts in the red circle and take out the rear shock absorber .</t>
  </si>
  <si>
    <t>B30 - Rear fender</t>
  </si>
  <si>
    <t>Remove the rear swingarm cover - B22</t>
  </si>
  <si>
    <t>Use a 5mm allen wrench to remove the two screws on the front part of rear fender.</t>
  </si>
  <si>
    <t>Use a 10mm sleeve to remove the two bolts,take out the fender bracket.</t>
  </si>
  <si>
    <t>Use a 5mm allen wrench to remove the three screws on the front part of rear fender,take out the rear fender.</t>
  </si>
  <si>
    <t>B31 - Rear fender bracket</t>
  </si>
  <si>
    <t>Use a 10mm sleeve to remove the two bolts,take out the rear fender bracket.</t>
  </si>
  <si>
    <t>B32 - Rear wheel assy</t>
  </si>
  <si>
    <t>Remove the cover of rear swingarm - B22</t>
  </si>
  <si>
    <t>Remove the rear fender - B30</t>
  </si>
  <si>
    <t>Use a 17mm sleeve spanner to remove the four bolts,take out the rear wheel.</t>
  </si>
  <si>
    <t xml:space="preserve">B33 - Left handle grip </t>
  </si>
  <si>
    <t>Use a 5mm allen wrench to remove the bolt,take out the handle weight.</t>
  </si>
  <si>
    <t xml:space="preserve">Hold the handle grip, rotate and pull it out.        </t>
  </si>
  <si>
    <t>B34 - Handlebar</t>
  </si>
  <si>
    <t>Remove the front side shield - B5</t>
  </si>
  <si>
    <t>Remove the side cover strip - B8</t>
  </si>
  <si>
    <t>Remove the left and right switch assy - A3, A4</t>
  </si>
  <si>
    <t>Use a 5mm allen wrench to remove the four screws on handlebar holder, take out the handlebar.</t>
  </si>
  <si>
    <t xml:space="preserve">B35 - Handle post comp </t>
  </si>
  <si>
    <t>B35 - Perno dirección</t>
  </si>
  <si>
    <t>Remove the left and right switch assembly - A3, A4</t>
  </si>
  <si>
    <t>Take off the handlebar - B33</t>
  </si>
  <si>
    <t xml:space="preserve">
Remove the 1 bolt in the red circle and remove the rear wheel with a 14mm socket wrench</t>
  </si>
  <si>
    <t>B36 - Steering stem</t>
  </si>
  <si>
    <t>B36 Vastago de Dirección</t>
  </si>
  <si>
    <t>B-36 Sterzo</t>
  </si>
  <si>
    <t>Remove the hanlde post comp - B35</t>
  </si>
  <si>
    <t xml:space="preserve">
Remove the lock nut assembly of the steering stem in the sequence shown in the figure. Remove the steering stem (1) with a special tool. Adjustable wrench, 2. Hook wrench)</t>
  </si>
  <si>
    <t xml:space="preserve">
Downward, take out the steering stem</t>
  </si>
  <si>
    <t>B37 - Vehicle lockset</t>
  </si>
  <si>
    <t>Remove the handle post comp - B35</t>
  </si>
  <si>
    <t>Remove the steering stem - B36</t>
  </si>
  <si>
    <t xml:space="preserve">
Unplug the power lock assembly connector and unplug the harness</t>
  </si>
  <si>
    <t xml:space="preserve">
Remove the two screws in the red circle with a phillips screwdriver and remove the power lock assembly</t>
  </si>
  <si>
    <t>B38 - Front shock absorber</t>
  </si>
  <si>
    <t>Remove the front fender - B29</t>
  </si>
  <si>
    <t xml:space="preserve">
Remove the 2 fixing bolts of the front caliper bracket in the red ring with a 12mm socket wrench and take off the front brake pump</t>
  </si>
  <si>
    <t xml:space="preserve">
Use a 14mm socket wrench to remove the left and right bolts from the red circle to remove the front shock absorber.</t>
  </si>
  <si>
    <t>B39 - Front wheel assy</t>
  </si>
  <si>
    <t>B-39 Eje Rueda Delantera</t>
  </si>
  <si>
    <t>B-39 Asse Ruota Anteriore</t>
  </si>
  <si>
    <t>Remove the front wheels, prepare shelves to hold the vehicle up so that it will remain stable once the front wheels are removed.</t>
  </si>
  <si>
    <t xml:space="preserve">
Use a 17mm socket wrench to jam the front axle screw, and a 14mm wrench to jam the opposite side of the screw and loosen the screw</t>
  </si>
  <si>
    <t xml:space="preserve">
After loosening the screw, pull out the front axle and remove the front wheel according to the direction of the arrow</t>
  </si>
  <si>
    <t>B40 - Left and right side stand</t>
  </si>
  <si>
    <t>Removal of the side bracket requires the main stand to be raised so that the vehicle remains stable after the side stand is removed.</t>
  </si>
  <si>
    <t xml:space="preserve">
Remove side stand springs with needle-nosed pliers</t>
  </si>
  <si>
    <t>Remove the side stand nut with a 17mm socket wrench, loosen the rotating shaft nut, remove the nut and remove the side stand</t>
  </si>
  <si>
    <t>B41 - Main stand</t>
  </si>
  <si>
    <t>Removal of the main support requires side stand to be raised so that the vehicle remains stable after the main stand is removed.</t>
  </si>
  <si>
    <t>Remove the main stand spring with needle-nosed pliers</t>
  </si>
  <si>
    <t xml:space="preserve">
Remove the main stand circlip with needle-nosed pliers</t>
  </si>
  <si>
    <t xml:space="preserve">
Draw the main stand axis in the direction of the arrow and remove the main stand</t>
  </si>
  <si>
    <t>B42 - Front/rear brake disc</t>
  </si>
  <si>
    <t>Remove the front or rear wheels (rear motor) - B39/B11</t>
  </si>
  <si>
    <t>Remove the first four and three fixing bolts of the brake disc with a 6MM hexagon wrench and remove the brake disc.</t>
  </si>
  <si>
    <t xml:space="preserve">
Note: Due to the gluing treatment of the brake disc screw during installation, attention should be paid to remove the screw to avoid the injury caused by the slip of the hexagon socket bolt!</t>
  </si>
  <si>
    <t>ES</t>
  </si>
  <si>
    <t>02 Speedometer assembly</t>
  </si>
  <si>
    <t xml:space="preserve">
NO</t>
  </si>
  <si>
    <t xml:space="preserve">
Remove the front basket -- see chapter 2, section 0</t>
  </si>
  <si>
    <t xml:space="preserve">
Remove the front cover ---- see chapter 2, Section 02</t>
  </si>
  <si>
    <t xml:space="preserve">
Remove the Electric plate - see chapter 2, Section 03</t>
  </si>
  <si>
    <t xml:space="preserve">
Steps</t>
  </si>
  <si>
    <t xml:space="preserve">
Description</t>
  </si>
  <si>
    <t xml:space="preserve">
Picture</t>
  </si>
  <si>
    <t xml:space="preserve">
Remove the two bolts of the speedometer bracket and remove the speedometer assembly with 5mm inner hexagon</t>
  </si>
  <si>
    <t xml:space="preserve">
Remove 2 nuts from speedometer bottom shell with 10mm nail sleeve</t>
  </si>
  <si>
    <t xml:space="preserve">Repair Catalogue Vs1   </t>
  </si>
  <si>
    <t>03 Right switch assembly</t>
  </si>
  <si>
    <t xml:space="preserve">
Remarks</t>
  </si>
  <si>
    <t>Remove the front basket -- see chapter 2, section 0</t>
  </si>
  <si>
    <t>Remove the front cover ---- see chapter 2, Section 02</t>
  </si>
  <si>
    <t>Remove the Electric plate - see chapter 2, Section 03</t>
  </si>
  <si>
    <t xml:space="preserve">
Remove the speedometer bracket ---- see the first chapter 02 section 1</t>
  </si>
  <si>
    <t xml:space="preserve">
Unplug the right switch assembly connector, turn the handle connector and unplug the harness</t>
  </si>
  <si>
    <t xml:space="preserve">
Remove the right brake upper pump assembly fixing bolt with an 8mm wrench</t>
  </si>
  <si>
    <t xml:space="preserve">
Remove the right switch assembly of 2 screws with a phillips screwdriver (marked in the picture)</t>
  </si>
  <si>
    <t xml:space="preserve">
Remove the bolts with 5mm inner hexagon wrench and remove the handle weight</t>
  </si>
  <si>
    <t>04 Left switch assembly</t>
  </si>
  <si>
    <t xml:space="preserve">
Preparation:</t>
  </si>
  <si>
    <t xml:space="preserve">Remove the Electric plate - see chapter 2, Section 03
</t>
  </si>
  <si>
    <t xml:space="preserve">
Unplug left switch assembly connector unplug harness</t>
  </si>
  <si>
    <t xml:space="preserve">
Remove the right brake upper pump assembly retaining bolt with an 8mm wrench</t>
  </si>
  <si>
    <t xml:space="preserve">Remove the 2 screws in the left switch assembly with a phillips screwdriver (marked in the figure)
</t>
  </si>
  <si>
    <t>05 converter</t>
  </si>
  <si>
    <t xml:space="preserve">
Remove the two screws in the red circle with a phillips screwdriver</t>
  </si>
  <si>
    <t xml:space="preserve">
Unplug the converter connector,</t>
  </si>
  <si>
    <t>06 Alarm</t>
  </si>
  <si>
    <t xml:space="preserve">
Arrow points to the components is the alarm , with a screwdriver to remove two screws</t>
  </si>
  <si>
    <t xml:space="preserve">
Unplug the alarm connector</t>
  </si>
  <si>
    <t>07 Horn</t>
  </si>
  <si>
    <t>08 Flasher</t>
  </si>
  <si>
    <t>9 Battery</t>
  </si>
  <si>
    <t xml:space="preserve">
Take out the Battery compartment cover -- see chapter 2, Section 23</t>
  </si>
  <si>
    <t>10 Controller</t>
  </si>
  <si>
    <t xml:space="preserve">
Take out the battery compartment cover -- see chapter 2, Section 23</t>
  </si>
  <si>
    <t xml:space="preserve">
Remove the Luggage box -- see chapter 2, Section 24</t>
  </si>
  <si>
    <t>11 Motor</t>
  </si>
  <si>
    <t>12 Electronic seat lock</t>
  </si>
  <si>
    <t>：
Preparation:</t>
  </si>
  <si>
    <t>Remove the Luggage box -- see chapter 2, Section 24</t>
  </si>
  <si>
    <t>13 Circuit protector</t>
  </si>
  <si>
    <t xml:space="preserve">
Take out the battery compartment  cover -- see chapter 2, Section 23</t>
  </si>
  <si>
    <t>14 Front winker</t>
  </si>
  <si>
    <t>15 USB interface</t>
  </si>
  <si>
    <t>NO</t>
  </si>
  <si>
    <t>16 Taillight Assy</t>
  </si>
  <si>
    <t xml:space="preserve">
Remove the Luggage box -- see chapter 2, Section 23</t>
  </si>
  <si>
    <t xml:space="preserve">
Remove the back shelf -- see chapter 2, section 03</t>
  </si>
  <si>
    <t xml:space="preserve">
Remove the rear center cover -- see chapter 2, Section 04</t>
  </si>
  <si>
    <t>17 Rear winker</t>
  </si>
  <si>
    <t>18 Side stand switch set</t>
  </si>
  <si>
    <t xml:space="preserve">
Remove the left and right front shields -- see Chapter 2, Section 05</t>
  </si>
  <si>
    <t xml:space="preserve">
Take off the pedal ------ see the second chapter 07</t>
  </si>
  <si>
    <t xml:space="preserve">
Remove the battery compartment cover-- see chapter 2, Section 23</t>
  </si>
  <si>
    <t>19 Vehicle charging socket</t>
  </si>
  <si>
    <t xml:space="preserve">
Remove the battery compartment cover -- see chapter 2, Section 23</t>
  </si>
  <si>
    <t>步骤
Steps</t>
  </si>
  <si>
    <t>Repair Catalogue VS1</t>
  </si>
  <si>
    <t>Chapter II  Mechanical Parts Disassembly</t>
  </si>
  <si>
    <r>
      <rPr>
        <sz val="11"/>
        <color rgb="FF333333"/>
        <rFont val="Arial"/>
      </rPr>
      <t>Post comp</t>
    </r>
    <r>
      <rPr>
        <sz val="11"/>
        <color rgb="FF333333"/>
        <rFont val="宋体"/>
      </rPr>
      <t>，</t>
    </r>
    <r>
      <rPr>
        <sz val="11"/>
        <color rgb="FF333333"/>
        <rFont val="Arial"/>
      </rPr>
      <t>Hanlde</t>
    </r>
  </si>
  <si>
    <t>南京瑞摩速珂智能科技有限公司
TBGA维修手册
Nanjing Vmoto Soco Intelligent Technology Co., LTD
TBGA Maintenance manual</t>
  </si>
  <si>
    <t>B-1前大罩
B-1 Front cover</t>
  </si>
  <si>
    <t>序号
NO</t>
  </si>
  <si>
    <t>准备工作：
Preparation:</t>
  </si>
  <si>
    <t>备注
Remarks</t>
  </si>
  <si>
    <t>拆下前货篮---------------见第二章0节
Remove the front basket -- see chapter 2, section 0</t>
  </si>
  <si>
    <t>拆下前大罩------------见第二章02节
Remove the front cover ---- see chapter 2, Section 02</t>
  </si>
  <si>
    <t>描述
Description</t>
  </si>
  <si>
    <t>图片
Picture</t>
  </si>
  <si>
    <t xml:space="preserve">
用十字螺丝刀将红圈中两个螺钉拆卸下来、取下前大罩
Remove the two screws in the red circle with a phillips screwdriver and remove the front cover</t>
  </si>
  <si>
    <t>B-2后货架
B-2 Rear carrier</t>
  </si>
  <si>
    <t xml:space="preserve">
用12mm的钉子套筒将红圈中三个螺栓拆卸下来、后货架
Use 12mm nail sleeve to remove the three bolts in the red circle and the rear carrier</t>
  </si>
  <si>
    <t>B-3电装件安装板
B-3 Electric plate</t>
  </si>
  <si>
    <t>用10mm套筒将红圈中三个螺钉拆卸下来、取下电装件安装板
Use 10mm sleeve to remove the three screws in the red circle and remove the electric plate.</t>
  </si>
  <si>
    <t>B-4后中央罩
B-4 Rear center cover</t>
  </si>
  <si>
    <t>取出电池仓盖------------见第二章23节
Take out the battery compartment cover -- see chapter 2, Section 23</t>
  </si>
  <si>
    <t>取出锂电池------------见第一章12节
Take out the lithium battery -- see chapter 1, Section 12</t>
  </si>
  <si>
    <t>取出置物箱------------见第二章24节
Take out the luggage box. See chapter 2, Section 24</t>
  </si>
  <si>
    <t>取下坐垫锁拉线
Remove the seat latch</t>
  </si>
  <si>
    <t>用十字螺丝刀将红圈中左右各3个螺钉拆卸下来，取下后中央罩
Remove the left and right 3 screws in the red circle with a phillips screwdriver and remove the rear center cover</t>
  </si>
  <si>
    <t>B-5左右前侧护罩
B-5 Left and right front shields</t>
  </si>
  <si>
    <t>用十字螺丝刀将红圈中左右各2个螺钉拆卸下来
Remove the left and right 2 screws from the red circle with a phillips screwdriver</t>
  </si>
  <si>
    <t>用十字螺丝刀将主梁罩上红圈中左右各1个螺钉拆卸下来，取下左右前侧罩
Use a phillips screwdriver to remove the left and right screws in the red circle of the main girder cover and remove the left and right front shields</t>
  </si>
  <si>
    <t>MANUAL REPAIR VS1</t>
  </si>
  <si>
    <t>RIPARACIONE MANUALE VS1</t>
  </si>
  <si>
    <t xml:space="preserve"> </t>
  </si>
  <si>
    <t>拆下前大罩----------------见第二章1节
Remove the front cover ------ see the second chapter 1</t>
  </si>
  <si>
    <t>拆下大灯总成----------------见第一章01节
Remove the headlight assembly -- see chapter 1, section 01</t>
  </si>
  <si>
    <t>拆下左右前转向灯----------------见第一章14节
Take down the left and right front winkers ------ see the first chapter 14</t>
  </si>
  <si>
    <t>完成上述准备工作后取下大灯罩即可
Take off the headlight after the above preparation work</t>
  </si>
  <si>
    <t>B-7脚踏板
B-7 Pedal</t>
  </si>
  <si>
    <t>用10mm的钉子套筒将红圈中四个螺栓拆卸下来、取出脚踏板
Remove the four bolts in the red circle with a 10mm nail sleeve and take out the pedal</t>
  </si>
  <si>
    <t>B-8(左/右）侧边条
B-8 (Left/right) Cover strip</t>
  </si>
  <si>
    <t>拆下左右前侧护罩----------见第二章5节
Remove the left and right front shields -- see Chapter 2, Section 5</t>
  </si>
  <si>
    <t>拆下脚踏板----------------见第二章7节
Take off the pedal ------ see the second chapter 7</t>
  </si>
  <si>
    <t>用十字螺丝刀将红圈中左右各7个螺钉拆卸下来、取出侧边条
Remove the left and right 7 screws in the red circle with a phillips screwdriver and take out the cover strip</t>
  </si>
  <si>
    <t>B-9挂钩
B-9 Hook</t>
  </si>
  <si>
    <t>用10mm的钉子套筒将红圈中1个螺栓拆卸下来、取出挂钩
Remove one bolt from the red circle with a 10mm nail sleeve and take out the hook</t>
  </si>
  <si>
    <t>B-10锁盖
B-10 LOCK COVER</t>
  </si>
  <si>
    <t>向左转动锁盖，取下电源盖
Turn the lock cover to the left to remove the power cover</t>
  </si>
  <si>
    <t>B-11主梁罩
B-11 Main girder cover</t>
  </si>
  <si>
    <t>拆下左右前侧护罩----------见第二章05节
Remove the left and right front shields -- see Chapter 2, Section 05</t>
  </si>
  <si>
    <t>拆下脚踏板----------------见第二章07节
Take off the pedal ------ see the second chapter 07</t>
  </si>
  <si>
    <t>拆下(左/右）侧边条--------见第二章08节
Remove the (left/right) cover strip -- see chapter 2, Section 08</t>
  </si>
  <si>
    <t>拆下挂钩------------------见第二章09节
Remove the hook -- see chapter 2, Section 09</t>
  </si>
  <si>
    <t>拆下电源锁盖--------------见第二章10节
Remove the power lock cover -- see chapter 2, Section 10</t>
  </si>
  <si>
    <t>用十字螺丝刀将前下罩红圈中左右各2个螺钉拆卸下来
Remove the left and right 2 screws in the red circle of the front lower cover with a phillips screwdriver</t>
  </si>
  <si>
    <t>用十字螺丝刀将主梁罩红圈中左右各1个螺钉拆卸下来，取下主梁罩
Use a phillips screwdriver to remove the left and right screws in the red circle of the main girder cover and remove the main girder cover</t>
  </si>
  <si>
    <t>B-12手套箱
B-12 Glove box</t>
  </si>
  <si>
    <t>拆下脚踏板----------------见第二章07节
Take off the pedal------ see the second chapter 07</t>
  </si>
  <si>
    <t>拆下主梁罩--------------见第二章11节
Remove the main girder cover -- see chapter 2, Section 11</t>
  </si>
  <si>
    <t>用十字螺丝刀将前下罩红圈中左右各2个螺钉拆卸下来，取下手套箱
Remove the left and right 2 screws in the red circle of the front lower cover with a phillips screwdriver and remove the glove box</t>
  </si>
  <si>
    <t>B-13VIN码盖子
B-13 VIN Cover</t>
  </si>
  <si>
    <t>用一字螺丝刀将红圈中撬出VIN盖即可
using straight screwdriver to pry out the VIN cover in the red circle</t>
  </si>
  <si>
    <t>B-15左/右广告牌
B-15 left/right advsrtising plate</t>
  </si>
  <si>
    <t>用5mm内六角拆下左右两颗螺栓、向外拉，取下左/右广告牌
 Remove the left and right two bolts with 5mm inner hexagon, pull outward and then remove the left/right advsrtising plate</t>
  </si>
  <si>
    <t>B-16后底罩
B-16 Rear bottom cover</t>
  </si>
  <si>
    <t>拆下置物箱---------------见第二章23节 
remove luggage box---see section 23 of chapter 2</t>
  </si>
  <si>
    <t>拆下后货架----------------见第二章 2节 
remove rear carrier---see section 2 of chapter 2</t>
  </si>
  <si>
    <t>拆下后中央罩----------------见第二章04节 
remove rear central cover--see section 4 of chapter 2</t>
  </si>
  <si>
    <t>拔开左右转向灯接插件
Unplug left and right winkers connectors</t>
  </si>
  <si>
    <t>用十字螺丝刀将红圈中左右各2个螺钉拆卸下来 
Remove 4 screws in right photo with phillips screwdriver.</t>
  </si>
  <si>
    <t xml:space="preserve">用十字螺丝刀将红圈中左右各4个螺钉拆卸下来，取下后底罩 
Remove 8 screws in right photo with phillips screwdriver and then remove rear bottom cover </t>
  </si>
  <si>
    <t>B-17前下罩
B-17 Front bottom cover</t>
  </si>
  <si>
    <t>拆下前货篮----------------见第二章0节 
remove front basket--see section 0 of chapter 2</t>
  </si>
  <si>
    <t>拆下前大罩----------------见第二章1节 
remove front cover--see section 1 of chapter 2</t>
  </si>
  <si>
    <t>拆下左右前侧护罩----------见第二章5节 
remove right and left front side shield---see section 5 of chapter 2</t>
  </si>
  <si>
    <t>拆下脚踏板----------------见第二章7节 
remove pedal--see section 7 of chapter 2</t>
  </si>
  <si>
    <t>拆下(左/右）侧边条--------见第二章8节 
remove (left/right) cover strip---see section 8 of chapter 2</t>
  </si>
  <si>
    <t>拆下挂钩------------------见第二章9节 
remove hook---see section 9 of chapter 2</t>
  </si>
  <si>
    <t>拆下电源锁盖--------------见第二章10节 
remove the power lock cover ---see section 10 of chapter 2</t>
  </si>
  <si>
    <t>拆下主梁罩----------------见第二章11节 
remove Main Girder Cover----see section 11 of chapter 2</t>
  </si>
  <si>
    <t>拆下大灯后罩----------------见第二章14节 
remover Rr Cover of headlight---see section 14 of chapter 2</t>
  </si>
  <si>
    <t>用10mm的钉子套筒将红圈中1个螺栓拆卸下来                        Remove one bolt from the red circle with a 10mm nail sleeve</t>
  </si>
  <si>
    <t>用10mm的钉子套筒将红圈中左右各2个螺栓拆卸下来,取下前下底罩  Remove the 4 bolts in the red circle with a 10mm nail sleeve and remove the front bottom cover</t>
  </si>
  <si>
    <t>B-18底罩
B-18 The bottom cover</t>
  </si>
  <si>
    <t>拆下前货篮----------------见第二章0节
Remove the front basket -- see chapter 2, section 0</t>
  </si>
  <si>
    <t>拆下左右前侧护罩----------见第二章5节
Remove the left and right front side shields -- see Chapter 2, Section 5</t>
  </si>
  <si>
    <t>拆下脚踏板----------------见第二章7节
Take off the pedal------ see the second chapter 7</t>
  </si>
  <si>
    <t>拆下(左/右）侧边条--------见第二章8节
Remove the (left/right) cover strip -- see chapter 2, section 8</t>
  </si>
  <si>
    <t>拆下挂钩------------------见第二章9节
Remove the hook -- see chapter 2, Section 9</t>
  </si>
  <si>
    <t>拆下主梁罩----------------见第二章11节
Remove the main girder cover -- see chapter 2, Section 11</t>
  </si>
  <si>
    <t>拆下大灯后罩----------------见第二章14节
Remove the headlamp cover -- see chapter 2, Section 14</t>
  </si>
  <si>
    <t>拆下前下罩--------------见第二章17节
Remove the front lower cover ---- see chapter 2, Section 17</t>
  </si>
  <si>
    <t>用十字螺丝刀将红圈中左右各2个螺钉拆卸下来，取下大灯罩
Use a phillips screwdriver to remove the left and right 2 screws in the red circle and remove the cover of the headlight</t>
  </si>
  <si>
    <t>B-19左右导风
B-19 left/right guide cowl</t>
  </si>
  <si>
    <t>用十字螺丝刀将红圈中左右各4个螺钉拆卸下来，取下左、右导风
Remove the left and right 4 screws in the red circle with a phillips screwdriver and take down the left and right guide cowl.</t>
  </si>
  <si>
    <t>B-20中央罩
B-20 Center cover</t>
  </si>
  <si>
    <t>取出脚踏板———————见第二章7节
Take out the pedal -- see chapter 2, verse 7</t>
  </si>
  <si>
    <t>取出锂电池--------------见第一章12节
Take out the lithium battery -- see chapter 1, Section 12</t>
  </si>
  <si>
    <t>取出置物箱--------------见第二章24节
Take out the luggage box. See chapter 2, Section 24</t>
  </si>
  <si>
    <t>用十字螺丝刀将红圈中1个螺钉拆卸下线扣，拔下充电口线接插件
Use a phillips screwdriver to remove the 1 screw in the red circle and remove the charging socket wire connector</t>
  </si>
  <si>
    <t>用十字螺丝刀将红圈中3个螺钉拆卸下来
Remove the 3 screws from the red circle with a phillips screwdriver</t>
  </si>
  <si>
    <t xml:space="preserve">用十字螺丝刀将红圈中2个螺钉拆卸下来，向上取出中央罩
Remove the 2 screws in the red circle with a phillips screwdriver and remove the center cover </t>
  </si>
  <si>
    <t>B-21车体左/右护罩
B-21 Left/right body cover</t>
  </si>
  <si>
    <t>取出后中央罩----------见第二章4节
After taking out the center cover, see chapter 2, Section 4</t>
  </si>
  <si>
    <t>取出左右导风----------见第二章4节
Take out the left and right guide cowl -- see chapter 2, Section 4</t>
  </si>
  <si>
    <t>用十字螺丝刀将红圈中左右各1个螺钉拆卸下来
Remove the left and right screws from the red circle with a phillips screwdriver</t>
  </si>
  <si>
    <t>用十字螺丝刀将红圈中左右各1个螺钉拆卸下来，取下整体
With a phillips screwdriver, remove the left and right screws in the red circle and remove the whole</t>
  </si>
  <si>
    <t>用十字螺丝刀将红圈中左右各1个螺钉拆卸下来，取下车体左右护罩
Remove the left and right screws in the red circle with a phillips screwdriver and remove the left and right body covers</t>
  </si>
  <si>
    <t>B-22后平叉罩
B-22 Rear swingarm cover</t>
  </si>
  <si>
    <t>用5mm内六角拆下三颗螺栓、取下平叉护板
Remove three bolts with 5mm inner hexagon，then remove the rear swingarm cover.</t>
  </si>
  <si>
    <t>南京瑞摩速珂智能科技有限公司
TBGC维修手册
Nanjing Ruimo Suke Intelligent Technology Co., LTD
TBGC maintenance manual</t>
  </si>
  <si>
    <t>B-23电池仓盖
Battery compartment cover</t>
  </si>
  <si>
    <t>打开坐垫锁
Open the seat lock</t>
  </si>
  <si>
    <t>取出电池仓盖
Remove the battery compartment cover</t>
  </si>
  <si>
    <t>B-24置物箱
B-24 Luggage box</t>
  </si>
  <si>
    <t>序号
No.</t>
  </si>
  <si>
    <t>准备工作：
Preparation</t>
  </si>
  <si>
    <t>备注
Remark</t>
  </si>
  <si>
    <t>取出电池仓盖------------见第二章23节
Take out the battery compartment cover -----see B-23</t>
  </si>
  <si>
    <t>取出锂电池------------见第一章12节
Take out the lithium battery ------ see A-12</t>
  </si>
  <si>
    <t>步骤
Step</t>
  </si>
  <si>
    <t>用10mm的钉子套筒将红圈中四个螺丝拆卸下来、置物箱
Use a 10mm nail sleeve to remove the four screws in the red circle, and the luggage box</t>
  </si>
  <si>
    <t>B-25中央左/右侧罩
B-25 Center left/right side shield</t>
  </si>
  <si>
    <t>取出脚踏板———————见第二章7节
Take out the pedal———————see B-7</t>
  </si>
  <si>
    <t>取出电池仓盖------------见第二章23节
Take out the battery compartment cover ------ see B-23</t>
  </si>
  <si>
    <t>取出置物箱------------见第二章24节
Take out the luggage box-----see B-24</t>
  </si>
  <si>
    <t>取出左右导风----------见第二章19节
Take out the left and right guide cowl----------see B-19</t>
  </si>
  <si>
    <t>取出后中央罩----------见第二章4节
Take out the rear center cover ---------- see B-4</t>
  </si>
  <si>
    <t>取出车体左/右护罩----------见第二章21节
Take out the body left/right side cover ---------- see B-21</t>
  </si>
  <si>
    <t>完成上述准备工作后取下中央左/右侧罩即可
After completing the above preparations, remove the center left/right side shield</t>
  </si>
  <si>
    <t>B-26刹车手柄
B-26 Brake lever</t>
  </si>
  <si>
    <t>用10mm的套筒扳手将红圈中二个螺栓及螺母拆卸下来，取下手柄 左右一致
Use a 10mm socket wrench to remove the two bolts and nuts in the red circle, and remove the brake lever.</t>
  </si>
  <si>
    <t>B-27CBS套件
B-27 CBS</t>
  </si>
  <si>
    <t>拆下前货篮----------------见第二章0节
Remove the front basket---------see B-0</t>
  </si>
  <si>
    <t>拆下前大罩----------------见第二章1节
Remove the front cover----------see B-1</t>
  </si>
  <si>
    <t>拆下左右前侧护罩----------见第二章5节
Remove the left and right front side shields----------see B-5</t>
  </si>
  <si>
    <t>拆下脚踏板----------------见第二章7节
Remove the pedal----------see B-7</t>
  </si>
  <si>
    <t>拆下(左/右）侧边条--------见第二章8节
Remove the (left/right) cover strip--------see B-8</t>
  </si>
  <si>
    <t>拆下挂钩------------------见第二章9节
Remove the hook------------------see B-09</t>
  </si>
  <si>
    <t>拆下电源锁盖--------------见第二章10节
Remove the power lock cover--------------see B-10</t>
  </si>
  <si>
    <t>拆下主梁罩----------------见第二章11节
Remove the main girder cover------------see B-11</t>
  </si>
  <si>
    <t>用5mm内六角拆下仪表支架两颗螺栓、取下仪表组件
Use 5mm inner hexagon to remove the two bolts of the speedometer bracket and remove the speedometer assembly</t>
  </si>
  <si>
    <t>拔开刹车开关接插件，拔出线束
Unplug the brake switch connector and unplug the wiring harness</t>
  </si>
  <si>
    <t>用8mm扳手卸下左/右制动上泵总成固定螺栓
Use 8mm wrench to remove left/right brake upper pump assembly fixing bolt</t>
  </si>
  <si>
    <t>用10mm套筒将红圈中前油管支架螺栓拆卸下来
Use a 10mm sleeve to remove the front oil tube bracket bolts in the red circle</t>
  </si>
  <si>
    <t>用10mm套筒将红圈中分泵国定螺栓拆卸下来
Use a 10mm sleeve to remove the fixing bolts of the red circle center sub-pump</t>
  </si>
  <si>
    <t>用12mm套筒将红圈中前后卡钳支架各2颗固定螺栓拆卸下来，取下CBS总成
Use a 12mm sleeve to disassemble the 2 fixing bolts of the front and rear caliper brackets in the red circle, and remove the CBS assembly</t>
  </si>
  <si>
    <t>B-28前泥板
B-28 Front fender</t>
  </si>
  <si>
    <t>用5mm内六角扳手卸下前挡泥板红圈左、右各二颗螺丝，取下前挡泥板
Use a 5mm Allen key to remove the two screws on the left and right of the red circle of the front fender, and then remove the front fender</t>
  </si>
  <si>
    <t>B-29后减震
B-29 Rear Shock Absorber</t>
  </si>
  <si>
    <t>取出后平叉罩-———————见第二章22节
Take out the rear swingarm cover—————see B-22</t>
  </si>
  <si>
    <t>用14mm的套筒扳手将红圈中2个螺栓、取出后减震。
Use a 14mm socket wrench to remove the 2 bolts in the red circle and take out the rear shock absorber .</t>
  </si>
  <si>
    <t>南京瑞摩速珂智能科技有限公司 
TBGA维修手册 
CPX service manual</t>
  </si>
  <si>
    <t>B-30后挡泥板 
B-30 Rear fender</t>
  </si>
  <si>
    <r>
      <rPr>
        <sz val="12"/>
        <color theme="1"/>
        <rFont val="SimSun"/>
      </rPr>
      <t xml:space="preserve">序号 </t>
    </r>
    <r>
      <rPr>
        <sz val="12"/>
        <color theme="1"/>
        <rFont val="宋体"/>
      </rPr>
      <t>No.</t>
    </r>
  </si>
  <si>
    <t>准备工作：Preparation</t>
  </si>
  <si>
    <t>备注 
Remarks</t>
  </si>
  <si>
    <t>取出后平叉罩-———————见第二章22节
Remove the rear swingarm cover,see chapter 22 section II</t>
  </si>
  <si>
    <r>
      <rPr>
        <sz val="12"/>
        <color theme="1"/>
        <rFont val="SimSun"/>
      </rPr>
      <t xml:space="preserve">步骤 </t>
    </r>
    <r>
      <rPr>
        <sz val="12"/>
        <color theme="1"/>
        <rFont val="宋体"/>
      </rPr>
      <t>Steps</t>
    </r>
  </si>
  <si>
    <t>描述 
Description</t>
  </si>
  <si>
    <t>图片
Photos</t>
  </si>
  <si>
    <t>用5mm内六角扳手卸下后挡泥板前端红圈左、右侧各1颗螺丝。                  Use a 5mm allen wrench to remove the two screws on the front part of rear fender.</t>
  </si>
  <si>
    <r>
      <rPr>
        <sz val="10"/>
        <color theme="1"/>
        <rFont val="SimSun"/>
      </rPr>
      <t>用10mm套筒将红圈中二个螺栓拆卸下来、取下挡泥板支架</t>
    </r>
    <r>
      <rPr>
        <sz val="10"/>
        <color theme="1"/>
        <rFont val="宋体"/>
      </rPr>
      <t xml:space="preserve">                         Use a 10mm sleeve to remove the two bolts,take out the fender bracket.</t>
    </r>
  </si>
  <si>
    <t>用5mm内六角扳手卸下后挡泥板前端红圈3颗螺丝，取下后挡泥板。                    Use a 5mm allen wrench to remove the three screws on the front part of rear fender,take out the rear fender.</t>
  </si>
  <si>
    <r>
      <rPr>
        <sz val="12"/>
        <color theme="1"/>
        <rFont val="SimSun"/>
      </rPr>
      <t>南京瑞摩速珂智能科技有限公司
TBGA维修手册</t>
    </r>
    <r>
      <rPr>
        <sz val="12"/>
        <color theme="1"/>
        <rFont val="宋体"/>
      </rPr>
      <t xml:space="preserve"> CPX service manual</t>
    </r>
  </si>
  <si>
    <r>
      <rPr>
        <sz val="12"/>
        <color rgb="FFFF0000"/>
        <rFont val="SimSun"/>
      </rPr>
      <t>B-31后挡泥板支架</t>
    </r>
    <r>
      <rPr>
        <sz val="12"/>
        <color rgb="FFFF0000"/>
        <rFont val="宋体"/>
      </rPr>
      <t xml:space="preserve"> B-31 Rear fender bracket</t>
    </r>
  </si>
  <si>
    <t>取出后平叉罩-———————见第二章22节
Remove the rear swingarm cover ,see chapter 22 section II</t>
  </si>
  <si>
    <t>图片 
Photos</t>
  </si>
  <si>
    <t>用5mm内六角扳手卸下后挡泥板前端红圈3颗螺丝，取下后挡泥板。             Use a 5mm allen wrench to remove the three screws on the front part of rear fender,take out the rear fender.</t>
  </si>
  <si>
    <t>用10mm套筒将红圈中二个螺栓拆卸下来、取下后挡泥板支架                   Use a 10mm sleeve to remove the two bolts,take out the rear fender bracket.</t>
  </si>
  <si>
    <t>B-32后轮总成  B-32 Rear wheel assy</t>
  </si>
  <si>
    <t>取出后平叉罩-———————见第二章22节</t>
  </si>
  <si>
    <t>Remove the cover of rear swingarm,see chapter 22 section II</t>
  </si>
  <si>
    <t>取出后挡泥板-———————见第二章30节</t>
  </si>
  <si>
    <t>Remove the rear fender,see chapter 30 section II</t>
  </si>
  <si>
    <t>用17mm套筒扳手将红圈中四个螺栓拆卸下来、取下后轮                     Use a 17mm sleeve spanner to remove the four bolts,take out the rear wheel.</t>
  </si>
  <si>
    <t xml:space="preserve">B-33左侧把套 B-33 Left handle grip </t>
  </si>
  <si>
    <t>用5mm内六角扳手拆下螺栓，取下平衡块                          Use a 5mm allen wrench to remove the bolt,take out the handle weight.</t>
  </si>
  <si>
    <t xml:space="preserve">手握住把套左右旋转并用力向外拔，拔出的把套即可                Hold the handle grip, rotate and pull it out.        </t>
  </si>
  <si>
    <t>南京瑞摩速珂智能科技有限公司
TBGA维修手册 CPX service manual</t>
  </si>
  <si>
    <t>B-34方向把 B-34 Handlebar</t>
  </si>
  <si>
    <t>拆下前货篮----------------见第二章0节</t>
  </si>
  <si>
    <t>Remove the front basket,see chapter 0 section II</t>
  </si>
  <si>
    <t>拆下前大罩----------------见第二章1节</t>
  </si>
  <si>
    <t>Remove the front cover,see chapter 1 section II</t>
  </si>
  <si>
    <t>拆下左右前侧护罩----------见第二章5节</t>
  </si>
  <si>
    <t>Remove the front side shield,see chapter 5 section II</t>
  </si>
  <si>
    <t>拆下脚踏板----------------见第二章7节</t>
  </si>
  <si>
    <t>Remove the pedal,see chapter 7 section II</t>
  </si>
  <si>
    <t>拆下(左/右）侧边条--------见第二章8节</t>
  </si>
  <si>
    <t>Remove the side cover strip,see chapter 8 section II</t>
  </si>
  <si>
    <t>拆下挂钩------------------见第二章9节</t>
  </si>
  <si>
    <t>Remove the hook,see chapter 9 section II</t>
  </si>
  <si>
    <t>拆下电源锁盖--------------见第二章10节</t>
  </si>
  <si>
    <t>Remove the power lock cover,see chapter 10 section II</t>
  </si>
  <si>
    <t>拆主梁罩-----------------见第二章11节</t>
  </si>
  <si>
    <t>Remove the main girder cover,see chapter 11 section II</t>
  </si>
  <si>
    <t>拆下左右开关总成--------见第一章3.4节</t>
  </si>
  <si>
    <t>Remove the left and right switch assy,see chapter 3.4 section I</t>
  </si>
  <si>
    <t>用5mm内六角扳手卸下方向把压块4颗螺丝，取下方向把。                        Use a 5mm allen wrench to remove the four screws on handlebar holder, take out the handlebar.</t>
  </si>
  <si>
    <t>南京瑞摩速珂智能科技有限公司
TBGA维修手册
Nanjing Ruimo Suke Intelligent Technology Co., LTD
TBGA Maintenance manual</t>
  </si>
  <si>
    <t xml:space="preserve">B-35把立管座
B-35 Hanlde post comp </t>
  </si>
  <si>
    <t>拆主梁罩----------------- 见第二章11节
Remove the main girder cover -- see chapter 2, Section 11</t>
  </si>
  <si>
    <t>拆下左右开关总成--------  见第一章3.4节
Remove the left and right switch assembly -- see chapter 1, Section 3.4</t>
  </si>
  <si>
    <t>拆下方向把----------------见第二章33节
Take off the handlebar ------ see the second chapter 33</t>
  </si>
  <si>
    <t>用14mm套筒扳手将红圈中1个螺栓拆卸下来、取下后轮
Remove the 1 bolt in the red circle and remove the rear wheel with a 14mm socket wrench</t>
  </si>
  <si>
    <t>B-36 方向柱
Steering stem</t>
  </si>
  <si>
    <t>拆下把立管----------------见第二章35节
Remove the hanlde post comp -- see chapter 2, Section 35</t>
  </si>
  <si>
    <t>按照图中顺序拆卸方向柱锁紧螺母组合，使用专用工具取出方向柱（1.活动扳手、2.钩形扳手)
Remove the lock nut assembly of the steering stem in the sequence shown in the figure. Remove the steering stem (1) with a special tool. Adjustable wrench, 2. Hook wrench)</t>
  </si>
  <si>
    <t>向下，取出方向柱即可
Downward, take out the steering stem</t>
  </si>
  <si>
    <t>B-37车头锁总成
B-37 Vehicle lockset</t>
  </si>
  <si>
    <t>拆下把立管----------------见第二章35节
Remove the handle post comp -- see chapter 2, Section 35</t>
  </si>
  <si>
    <t>拆下方向柱----------------见第二章36节
Remove the steering stem -- see chapter 2, Section 36</t>
  </si>
  <si>
    <t>拔开电源锁总成接插件拔出线束
Unplug the power lock assembly connector and unplug the harness</t>
  </si>
  <si>
    <t>用十字螺丝刀将红圈中二个螺钉拆卸下来，取下电源锁总成
Remove the two screws in the red circle with a phillips screwdriver and remove the power lock assembly</t>
  </si>
  <si>
    <t>B-38 前减震
B-38 Front shock absorber</t>
  </si>
  <si>
    <t>拆下前泥板----------------见第二章29节
Remove the front fender -- see chapter 2, Section 29</t>
  </si>
  <si>
    <t>用12mm套筒扳手将红圈中前卡钳支架2颗固定螺栓拆卸下来，取前刹车泵
Remove the 2 fixing bolts of the front caliper bracket in the red ring with a 12mm socket wrench and take off the front brake pump</t>
  </si>
  <si>
    <t>用14mm的套筒扳手将红圈中左右各2个螺栓、取出前减震。
Use a 14mm socket wrench to remove the left and right bolts from the red circle to remove the front shock absorber.</t>
  </si>
  <si>
    <t>B-39前轮总成
B-39 Front wheel assy</t>
  </si>
  <si>
    <t>拆卸前轮需要准备架子把车子撑起来、以便前轮卸掉之后车子保持稳定。
o remove the front wheels, prepare shelves to hold the vehicle up so that it will remain stable once the front wheels are removed.</t>
  </si>
  <si>
    <t>用17mm套筒扳手卡住前轮轴螺丝，14mm扳手卡住螺丝对面、松开螺丝
Use a 17mm socket wrench to jam the front axle screw, and a 14mm wrench to jam the opposite side of the screw and loosen the screw</t>
  </si>
  <si>
    <t>螺丝松开后按照箭头方 向抽出前轴、取下前轮
After loosening the screw, pull out the front axle and remove the front wheel according to the direction of the arrow</t>
  </si>
  <si>
    <t>B-40左右侧支撑
B-40 Left and right side stand</t>
  </si>
  <si>
    <t>拆卸侧支架需要主支撑撑起来、以便侧支撑卸掉之后车子保持稳定。
：Removal of the side bracket requires the main stand to be raised so that the vehicle remains stable after the side stand is removed.</t>
  </si>
  <si>
    <t>用尖嘴钳卸掉侧支撑弹簧
Remove side stand springs with needle-nosed pliers</t>
  </si>
  <si>
    <t>用17mm套筒扳手卸掉侧支撑螺母, 松开旋转轴螺母取出螺母、取下侧支撑
Remove the side stand nut with a 17mm socket wrench, loosen the rotating shaft nut, remove the nut and remove the side stand</t>
  </si>
  <si>
    <t>B-41主支撑
B-41 Main stand</t>
  </si>
  <si>
    <t>拆卸主支撑需要侧支撑撑起来、以便主支撑卸掉之后车子保持稳定。
Removal of the main support requires side stand to be raised so that the vehicle remains stable after the main stand is removed.</t>
  </si>
  <si>
    <t>用尖嘴钳卸掉主支撑弹簧
Remove the main stand spring with needle-nosed pliers</t>
  </si>
  <si>
    <t>用尖嘴钳卸掉主支撑卡簧销
Remove the main stand circlip with needle-nosed pliers</t>
  </si>
  <si>
    <t>按照箭头方 向抽出主支撑轴、取下主支撑
Draw the main stand axis in the direction of the arrow and remove the main stand</t>
  </si>
  <si>
    <t>B-42前/后制动碟
B-42 Front/rear brake disc</t>
  </si>
  <si>
    <t>卸下前轮或后轮（后电机）-------见第二章39节或第一章11节
Remove the front or rear wheels (rear motor) -- see chapter 39 or Chapter 11</t>
  </si>
  <si>
    <t>用6MM内六角扳手将制动碟前四后三颗固定螺栓卸下取下制动碟即可。
Remove the first four and three fixing bolts of the brake disc with a 6MM hexagon wrench and remove the brake disc.</t>
  </si>
  <si>
    <t>注意：由于安装时制动碟螺丝经过加胶处理、拆卸螺丝时需注意、避免内六角螺栓打滑使拆卸人员受伤！
Note: Due to the gluing treatment of the brake disc screw during installation, attention should be paid to remove the screw to avoid the injury caused by the slip of the hexagon socket bolt!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</si>
</sst>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font>
      <sz val="12"/>
      <color rgb="FF000000"/>
      <name val="SimSun"/>
      <scheme val="minor"/>
    </font>
    <font>
      <b/>
      <sz val="8"/>
      <color rgb="FFFFFFFF"/>
      <name val="Libre Franklin"/>
    </font>
    <font>
      <sz val="8"/>
      <color theme="1"/>
      <name val="SimSun"/>
    </font>
    <font>
      <b/>
      <sz val="11"/>
      <color theme="1"/>
      <name val="Libre Franklin"/>
    </font>
    <font>
      <b/>
      <sz val="14"/>
      <color rgb="FF333333"/>
      <name val="Libre Franklin"/>
    </font>
    <font>
      <sz val="12"/>
      <color theme="1"/>
      <name val="Arial"/>
    </font>
    <font>
      <b/>
      <sz val="11"/>
      <color rgb="FFFFFFFF"/>
      <name val="Libre Franklin"/>
    </font>
    <font>
      <b/>
      <sz val="11"/>
      <color theme="0"/>
      <name val="Libre Franklin"/>
    </font>
    <font>
      <sz val="8"/>
      <color theme="1"/>
      <name val="Arial"/>
    </font>
    <font>
      <sz val="11"/>
      <color theme="1"/>
      <name val="Libre Franklin"/>
    </font>
    <font>
      <sz val="11"/>
      <color rgb="FF333333"/>
      <name val="Libre Franklin"/>
    </font>
    <font>
      <sz val="10"/>
      <color theme="1"/>
      <name val="SimSun"/>
    </font>
    <font>
      <sz val="12"/>
      <color theme="1"/>
      <name val="SimSun"/>
    </font>
    <font>
      <sz val="11"/>
      <color rgb="FF2E3033"/>
      <name val="Arial"/>
    </font>
    <font>
      <b/>
      <sz val="12"/>
      <color theme="1"/>
      <name val="SimSun"/>
    </font>
    <font>
      <sz val="12"/>
      <name val="SimSun"/>
    </font>
    <font>
      <b/>
      <sz val="12"/>
      <color theme="1"/>
      <name val="Arial"/>
    </font>
    <font>
      <b/>
      <sz val="12"/>
      <color theme="0"/>
      <name val="Arial"/>
    </font>
    <font>
      <sz val="12"/>
      <color theme="0"/>
      <name val="Arial"/>
    </font>
    <font>
      <b/>
      <sz val="11"/>
      <color rgb="FF333333"/>
      <name val="Arial"/>
    </font>
    <font>
      <sz val="11"/>
      <color rgb="FF333333"/>
      <name val="Arial"/>
    </font>
    <font>
      <sz val="12"/>
      <color rgb="FFFF0000"/>
      <name val="SimSun"/>
    </font>
    <font>
      <sz val="10"/>
      <color theme="1"/>
      <name val="Microsoft Yahei"/>
    </font>
    <font>
      <sz val="10"/>
      <color rgb="FFFF0000"/>
      <name val="SimSun"/>
    </font>
    <font>
      <sz val="11"/>
      <color rgb="FF333333"/>
      <name val="宋体"/>
    </font>
    <font>
      <sz val="12"/>
      <color theme="1"/>
      <name val="宋体"/>
    </font>
    <font>
      <sz val="10"/>
      <color theme="1"/>
      <name val="宋体"/>
    </font>
    <font>
      <sz val="12"/>
      <color rgb="FFFF0000"/>
      <name val="宋体"/>
    </font>
  </fonts>
  <fills count="10">
    <fill>
      <patternFill patternType="none"/>
    </fill>
    <fill>
      <patternFill patternType="gray125"/>
    </fill>
    <fill>
      <patternFill patternType="solid">
        <fgColor rgb="FF666666"/>
        <bgColor rgb="FF666666"/>
      </patternFill>
    </fill>
    <fill>
      <patternFill patternType="solid">
        <fgColor rgb="FFEFEFEF"/>
        <bgColor rgb="FFEFEFEF"/>
      </patternFill>
    </fill>
    <fill>
      <patternFill patternType="solid">
        <fgColor rgb="FF082AEF"/>
        <bgColor rgb="FF082AEF"/>
      </patternFill>
    </fill>
    <fill>
      <patternFill patternType="solid">
        <fgColor theme="0"/>
        <bgColor theme="0"/>
      </patternFill>
    </fill>
    <fill>
      <patternFill patternType="solid">
        <fgColor rgb="FF23D96B"/>
        <bgColor rgb="FF23D96B"/>
      </patternFill>
    </fill>
    <fill>
      <patternFill patternType="solid">
        <fgColor rgb="FFFFFFFF"/>
        <bgColor rgb="FFFFFFFF"/>
      </patternFill>
    </fill>
    <fill>
      <patternFill patternType="solid">
        <fgColor theme="8"/>
        <bgColor theme="8"/>
      </patternFill>
    </fill>
    <fill>
      <patternFill patternType="solid">
        <fgColor rgb="FF0000FF"/>
        <bgColor rgb="FF0000FF"/>
      </patternFill>
    </fill>
  </fills>
  <borders count="27">
    <border>
      <left/>
      <right/>
      <top/>
      <bottom/>
      <diagonal/>
    </border>
    <border>
      <left/>
      <right/>
      <top/>
      <bottom style="thin">
        <color rgb="FF000000"/>
      </bottom>
      <diagonal/>
    </border>
    <border>
      <left/>
      <right/>
      <top/>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bottom style="medium">
        <color rgb="FF000000"/>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thin">
        <color rgb="FF000000"/>
      </right>
      <top style="thin">
        <color rgb="FF000000"/>
      </top>
      <bottom/>
      <diagonal/>
    </border>
    <border>
      <left style="medium">
        <color rgb="FFC0C0C0"/>
      </left>
      <right style="medium">
        <color rgb="FFC0C0C0"/>
      </right>
      <top style="medium">
        <color rgb="FFC0C0C0"/>
      </top>
      <bottom style="medium">
        <color rgb="FFC0C0C0"/>
      </bottom>
      <diagonal/>
    </border>
    <border>
      <left/>
      <right style="medium">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s>
  <cellStyleXfs count="1">
    <xf numFmtId="0" fontId="0" fillId="0" borderId="0"/>
  </cellStyleXfs>
  <cellXfs count="91">
    <xf numFmtId="0" fontId="0" fillId="0" borderId="0" xfId="0" applyAlignment="1">
      <alignment vertical="center"/>
    </xf>
    <xf numFmtId="0" fontId="2" fillId="0" borderId="0" xfId="0" applyFont="1" applyAlignment="1">
      <alignment vertical="center"/>
    </xf>
    <xf numFmtId="0" fontId="3" fillId="3" borderId="1" xfId="0" applyFont="1" applyFill="1" applyBorder="1" applyAlignment="1">
      <alignment vertical="center"/>
    </xf>
    <xf numFmtId="0" fontId="5" fillId="0" borderId="0" xfId="0" applyFont="1" applyAlignment="1">
      <alignment vertical="center"/>
    </xf>
    <xf numFmtId="0" fontId="8" fillId="0" borderId="0" xfId="0" applyFont="1" applyAlignment="1">
      <alignment vertical="center"/>
    </xf>
    <xf numFmtId="0" fontId="11" fillId="0" borderId="0" xfId="0" applyFont="1" applyAlignment="1">
      <alignment vertical="center"/>
    </xf>
    <xf numFmtId="0" fontId="9" fillId="0" borderId="0" xfId="0" applyFont="1" applyAlignment="1">
      <alignment vertical="center"/>
    </xf>
    <xf numFmtId="0" fontId="10" fillId="0" borderId="0" xfId="0" applyFont="1" applyAlignment="1">
      <alignment vertical="center"/>
    </xf>
    <xf numFmtId="0" fontId="13" fillId="0" borderId="0" xfId="0" applyFont="1" applyAlignment="1">
      <alignment vertical="center"/>
    </xf>
    <xf numFmtId="0" fontId="14" fillId="0" borderId="0" xfId="0" applyFont="1" applyAlignment="1">
      <alignment vertical="center"/>
    </xf>
    <xf numFmtId="0" fontId="9" fillId="0" borderId="0" xfId="0" applyFont="1" applyAlignment="1">
      <alignment horizontal="center" vertical="center" wrapText="1"/>
    </xf>
    <xf numFmtId="0" fontId="9" fillId="0" borderId="0" xfId="0" applyFont="1" applyAlignment="1">
      <alignment vertical="center" wrapText="1"/>
    </xf>
    <xf numFmtId="0" fontId="12" fillId="0" borderId="0" xfId="0" applyFont="1" applyAlignment="1">
      <alignment vertical="center"/>
    </xf>
    <xf numFmtId="0" fontId="9" fillId="0" borderId="0" xfId="0" applyFont="1" applyAlignment="1">
      <alignment vertical="center" textRotation="90" wrapText="1"/>
    </xf>
    <xf numFmtId="0" fontId="9" fillId="0" borderId="0" xfId="0" applyFont="1" applyAlignment="1">
      <alignment horizontal="center" vertical="center"/>
    </xf>
    <xf numFmtId="0" fontId="12" fillId="0" borderId="6" xfId="0" applyFont="1" applyBorder="1" applyAlignment="1">
      <alignment vertical="center"/>
    </xf>
    <xf numFmtId="0" fontId="12" fillId="0" borderId="7" xfId="0" applyFont="1" applyBorder="1" applyAlignment="1">
      <alignment horizontal="center" vertical="center" wrapText="1"/>
    </xf>
    <xf numFmtId="0" fontId="12" fillId="0" borderId="6" xfId="0" applyFont="1" applyBorder="1" applyAlignment="1">
      <alignment vertical="center" wrapText="1"/>
    </xf>
    <xf numFmtId="0" fontId="12" fillId="0" borderId="8" xfId="0" applyFont="1" applyBorder="1" applyAlignment="1">
      <alignment vertical="center" wrapText="1"/>
    </xf>
    <xf numFmtId="0" fontId="12" fillId="0" borderId="7" xfId="0" applyFont="1" applyBorder="1" applyAlignment="1">
      <alignment horizontal="center" vertical="center"/>
    </xf>
    <xf numFmtId="0" fontId="12" fillId="0" borderId="8" xfId="0" applyFont="1" applyBorder="1" applyAlignment="1">
      <alignment vertical="center"/>
    </xf>
    <xf numFmtId="0" fontId="12" fillId="0" borderId="9" xfId="0" applyFont="1" applyBorder="1" applyAlignment="1">
      <alignment vertical="center" wrapText="1"/>
    </xf>
    <xf numFmtId="0" fontId="11" fillId="0" borderId="6" xfId="0" applyFont="1" applyBorder="1" applyAlignment="1">
      <alignment vertical="center" wrapText="1"/>
    </xf>
    <xf numFmtId="0" fontId="12" fillId="0" borderId="0" xfId="0" applyFont="1" applyAlignment="1">
      <alignment horizontal="center" vertical="center"/>
    </xf>
    <xf numFmtId="0" fontId="12" fillId="0" borderId="6" xfId="0" applyFont="1" applyBorder="1" applyAlignment="1">
      <alignment horizontal="center" vertical="center"/>
    </xf>
    <xf numFmtId="0" fontId="11" fillId="0" borderId="6" xfId="0" applyFont="1" applyBorder="1" applyAlignment="1">
      <alignment horizontal="left" vertical="center" wrapText="1"/>
    </xf>
    <xf numFmtId="0" fontId="12" fillId="0" borderId="10" xfId="0" applyFont="1" applyBorder="1" applyAlignment="1">
      <alignment horizontal="center" vertical="center"/>
    </xf>
    <xf numFmtId="0" fontId="11" fillId="0" borderId="11" xfId="0" applyFont="1" applyBorder="1" applyAlignment="1">
      <alignment horizontal="left" vertical="center" wrapText="1"/>
    </xf>
    <xf numFmtId="0" fontId="12" fillId="0" borderId="12" xfId="0" applyFont="1" applyBorder="1" applyAlignment="1">
      <alignment vertical="center"/>
    </xf>
    <xf numFmtId="0" fontId="12" fillId="0" borderId="0" xfId="0" applyFont="1" applyAlignment="1">
      <alignment vertical="center" wrapText="1"/>
    </xf>
    <xf numFmtId="0" fontId="19" fillId="0" borderId="0" xfId="0" applyFont="1" applyAlignment="1">
      <alignment vertical="center"/>
    </xf>
    <xf numFmtId="0" fontId="20" fillId="0" borderId="0" xfId="0" applyFont="1" applyAlignment="1">
      <alignment vertical="center"/>
    </xf>
    <xf numFmtId="0" fontId="11" fillId="0" borderId="6" xfId="0" applyFont="1" applyBorder="1" applyAlignment="1">
      <alignment vertical="center"/>
    </xf>
    <xf numFmtId="0" fontId="12" fillId="0" borderId="16" xfId="0" applyFont="1" applyBorder="1" applyAlignment="1">
      <alignment horizontal="center" vertical="center"/>
    </xf>
    <xf numFmtId="0" fontId="12" fillId="0" borderId="17" xfId="0" applyFont="1" applyBorder="1" applyAlignment="1">
      <alignment vertical="center"/>
    </xf>
    <xf numFmtId="0" fontId="12" fillId="0" borderId="18" xfId="0" applyFont="1" applyBorder="1" applyAlignment="1">
      <alignment horizontal="center" vertical="center"/>
    </xf>
    <xf numFmtId="0" fontId="12" fillId="0" borderId="19" xfId="0" applyFont="1" applyBorder="1" applyAlignment="1">
      <alignment vertical="center"/>
    </xf>
    <xf numFmtId="0" fontId="12" fillId="0" borderId="20" xfId="0" applyFont="1" applyBorder="1" applyAlignment="1">
      <alignment vertical="center"/>
    </xf>
    <xf numFmtId="0" fontId="12" fillId="0" borderId="21" xfId="0" applyFont="1" applyBorder="1" applyAlignment="1">
      <alignment horizontal="center" vertical="center"/>
    </xf>
    <xf numFmtId="0" fontId="12" fillId="9" borderId="22" xfId="0" applyFont="1" applyFill="1" applyBorder="1" applyAlignment="1">
      <alignment vertical="center" wrapText="1"/>
    </xf>
    <xf numFmtId="0" fontId="6" fillId="9" borderId="22" xfId="0" applyFont="1" applyFill="1" applyBorder="1" applyAlignment="1">
      <alignment horizontal="center" vertical="center" wrapText="1"/>
    </xf>
    <xf numFmtId="0" fontId="12" fillId="0" borderId="22" xfId="0" applyFont="1" applyBorder="1" applyAlignment="1">
      <alignment vertical="center" wrapText="1"/>
    </xf>
    <xf numFmtId="0" fontId="12" fillId="7" borderId="22" xfId="0" applyFont="1" applyFill="1" applyBorder="1" applyAlignment="1">
      <alignment vertical="center" wrapText="1"/>
    </xf>
    <xf numFmtId="0" fontId="4" fillId="7" borderId="22" xfId="0" applyFont="1" applyFill="1" applyBorder="1" applyAlignment="1">
      <alignment horizontal="center" vertical="center" wrapText="1"/>
    </xf>
    <xf numFmtId="0" fontId="12" fillId="0" borderId="23" xfId="0" applyFont="1" applyBorder="1" applyAlignment="1">
      <alignment vertical="center"/>
    </xf>
    <xf numFmtId="0" fontId="12" fillId="0" borderId="16" xfId="0" applyFont="1" applyBorder="1" applyAlignment="1">
      <alignment vertical="center"/>
    </xf>
    <xf numFmtId="0" fontId="12" fillId="0" borderId="21" xfId="0" applyFont="1" applyBorder="1" applyAlignment="1">
      <alignment vertical="center"/>
    </xf>
    <xf numFmtId="0" fontId="14" fillId="0" borderId="20" xfId="0" applyFont="1" applyBorder="1" applyAlignment="1">
      <alignment vertical="center"/>
    </xf>
    <xf numFmtId="0" fontId="12" fillId="0" borderId="21" xfId="0" applyFont="1" applyBorder="1" applyAlignment="1">
      <alignment vertical="center" wrapText="1"/>
    </xf>
    <xf numFmtId="0" fontId="22" fillId="0" borderId="6" xfId="0" applyFont="1" applyBorder="1" applyAlignment="1">
      <alignment vertical="center"/>
    </xf>
    <xf numFmtId="0" fontId="12" fillId="0" borderId="11" xfId="0" applyFont="1" applyBorder="1" applyAlignment="1">
      <alignment vertical="center"/>
    </xf>
    <xf numFmtId="0" fontId="12" fillId="0" borderId="9" xfId="0" applyFont="1" applyBorder="1" applyAlignment="1">
      <alignment vertical="center"/>
    </xf>
    <xf numFmtId="0" fontId="1" fillId="2" borderId="2" xfId="0" applyFont="1" applyFill="1" applyBorder="1" applyAlignment="1">
      <alignment horizontal="right" vertical="center"/>
    </xf>
    <xf numFmtId="0" fontId="1" fillId="2" borderId="2" xfId="0" applyFont="1" applyFill="1" applyBorder="1" applyAlignment="1">
      <alignment horizontal="center" vertical="center"/>
    </xf>
    <xf numFmtId="0" fontId="3" fillId="3" borderId="2" xfId="0" applyFont="1" applyFill="1" applyBorder="1" applyAlignment="1">
      <alignment vertical="center"/>
    </xf>
    <xf numFmtId="0" fontId="4" fillId="3" borderId="2" xfId="0" applyFont="1" applyFill="1" applyBorder="1" applyAlignment="1">
      <alignment horizontal="center" vertical="center"/>
    </xf>
    <xf numFmtId="0" fontId="6" fillId="4" borderId="2" xfId="0" applyFont="1" applyFill="1" applyBorder="1" applyAlignment="1">
      <alignment horizontal="right" vertical="center"/>
    </xf>
    <xf numFmtId="0" fontId="6" fillId="4" borderId="2" xfId="0" applyFont="1" applyFill="1" applyBorder="1" applyAlignment="1">
      <alignment vertical="center"/>
    </xf>
    <xf numFmtId="0" fontId="7" fillId="4" borderId="2" xfId="0" applyFont="1" applyFill="1" applyBorder="1" applyAlignment="1">
      <alignment vertical="center"/>
    </xf>
    <xf numFmtId="0" fontId="9" fillId="4" borderId="2" xfId="0" applyFont="1" applyFill="1" applyBorder="1" applyAlignment="1">
      <alignment vertical="center"/>
    </xf>
    <xf numFmtId="0" fontId="9" fillId="5" borderId="2" xfId="0" applyFont="1" applyFill="1" applyBorder="1" applyAlignment="1">
      <alignment vertical="center"/>
    </xf>
    <xf numFmtId="0" fontId="10" fillId="5" borderId="2" xfId="0" applyFont="1" applyFill="1" applyBorder="1" applyAlignment="1">
      <alignment vertical="center"/>
    </xf>
    <xf numFmtId="0" fontId="6" fillId="6" borderId="2" xfId="0" applyFont="1" applyFill="1" applyBorder="1" applyAlignment="1">
      <alignment horizontal="right" vertical="center"/>
    </xf>
    <xf numFmtId="0" fontId="7" fillId="6" borderId="2" xfId="0" applyFont="1" applyFill="1" applyBorder="1" applyAlignment="1">
      <alignment vertical="center"/>
    </xf>
    <xf numFmtId="0" fontId="12" fillId="6" borderId="2" xfId="0" applyFont="1" applyFill="1" applyBorder="1" applyAlignment="1">
      <alignment vertical="center"/>
    </xf>
    <xf numFmtId="0" fontId="12" fillId="7" borderId="2" xfId="0" applyFont="1" applyFill="1" applyBorder="1" applyAlignment="1">
      <alignment vertical="center"/>
    </xf>
    <xf numFmtId="0" fontId="9" fillId="2" borderId="2" xfId="0" applyFont="1" applyFill="1" applyBorder="1" applyAlignment="1">
      <alignment vertical="center"/>
    </xf>
    <xf numFmtId="0" fontId="6" fillId="2" borderId="2" xfId="0" applyFont="1" applyFill="1" applyBorder="1" applyAlignment="1">
      <alignment horizontal="center" vertical="center"/>
    </xf>
    <xf numFmtId="0" fontId="6"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vertical="center" wrapText="1"/>
    </xf>
    <xf numFmtId="0" fontId="7" fillId="4" borderId="2" xfId="0" applyFont="1" applyFill="1" applyBorder="1" applyAlignment="1">
      <alignment horizontal="center" vertical="center" wrapText="1"/>
    </xf>
    <xf numFmtId="0" fontId="7" fillId="4" borderId="2" xfId="0" applyFont="1" applyFill="1" applyBorder="1" applyAlignment="1">
      <alignment vertical="center" wrapText="1"/>
    </xf>
    <xf numFmtId="0" fontId="6" fillId="6" borderId="2" xfId="0" applyFont="1" applyFill="1" applyBorder="1" applyAlignment="1">
      <alignment horizontal="center" vertical="center" wrapText="1"/>
    </xf>
    <xf numFmtId="0" fontId="17" fillId="8" borderId="2" xfId="0" applyFont="1" applyFill="1" applyBorder="1" applyAlignment="1">
      <alignment vertical="center"/>
    </xf>
    <xf numFmtId="0" fontId="12" fillId="5" borderId="2" xfId="0" applyFont="1" applyFill="1" applyBorder="1" applyAlignment="1">
      <alignment vertical="center"/>
    </xf>
    <xf numFmtId="0" fontId="6" fillId="4" borderId="2" xfId="0" applyFont="1" applyFill="1" applyBorder="1" applyAlignment="1">
      <alignment horizontal="center" vertical="center" wrapText="1"/>
    </xf>
    <xf numFmtId="0" fontId="15" fillId="0" borderId="2" xfId="0" applyFont="1" applyBorder="1" applyAlignment="1">
      <alignment vertical="center"/>
    </xf>
    <xf numFmtId="0" fontId="3" fillId="3" borderId="2" xfId="0" applyFont="1" applyFill="1" applyBorder="1" applyAlignment="1">
      <alignment horizontal="center" vertical="center" wrapText="1"/>
    </xf>
    <xf numFmtId="0" fontId="16" fillId="5" borderId="2" xfId="0" applyFont="1" applyFill="1" applyBorder="1" applyAlignment="1">
      <alignment horizontal="center" vertical="center"/>
    </xf>
    <xf numFmtId="0" fontId="18" fillId="8" borderId="3" xfId="0" applyFont="1" applyFill="1" applyBorder="1" applyAlignment="1">
      <alignment horizontal="center" vertical="center" wrapText="1"/>
    </xf>
    <xf numFmtId="0" fontId="15" fillId="0" borderId="4" xfId="0" applyFont="1" applyBorder="1" applyAlignment="1">
      <alignment vertical="center"/>
    </xf>
    <xf numFmtId="0" fontId="15" fillId="0" borderId="5" xfId="0" applyFont="1" applyBorder="1" applyAlignment="1">
      <alignment vertical="center"/>
    </xf>
    <xf numFmtId="0" fontId="12" fillId="0" borderId="13" xfId="0" applyFont="1" applyBorder="1" applyAlignment="1">
      <alignment horizontal="center" vertical="center" wrapText="1"/>
    </xf>
    <xf numFmtId="0" fontId="15" fillId="0" borderId="14" xfId="0" applyFont="1" applyBorder="1" applyAlignment="1">
      <alignment vertical="center"/>
    </xf>
    <xf numFmtId="0" fontId="15" fillId="0" borderId="15" xfId="0" applyFont="1" applyBorder="1" applyAlignment="1">
      <alignment vertical="center"/>
    </xf>
    <xf numFmtId="0" fontId="21" fillId="0" borderId="3" xfId="0" applyFont="1" applyBorder="1" applyAlignment="1">
      <alignment horizontal="center" vertical="center" wrapText="1"/>
    </xf>
    <xf numFmtId="0" fontId="21" fillId="0" borderId="3" xfId="0" applyFont="1" applyBorder="1" applyAlignment="1">
      <alignment horizontal="center" vertical="center"/>
    </xf>
    <xf numFmtId="0" fontId="23" fillId="0" borderId="24" xfId="0" applyFont="1" applyBorder="1" applyAlignment="1">
      <alignment horizontal="center" vertical="center" wrapText="1"/>
    </xf>
    <xf numFmtId="0" fontId="15" fillId="0" borderId="25" xfId="0" applyFont="1" applyBorder="1" applyAlignment="1">
      <alignment vertical="center"/>
    </xf>
    <xf numFmtId="0" fontId="15" fillId="0" borderId="26" xfId="0" applyFont="1" applyBorder="1" applyAlignment="1">
      <alignment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customschemas.google.com/relationships/workbookmetadata" Target="metadata"/><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customXml" Target="../customXml/item2.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tyles" Target="styles.xml"/><Relationship Id="rId75"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73"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9" Type="http://schemas.openxmlformats.org/officeDocument/2006/relationships/image" Target="../media/image41.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7" Type="http://schemas.openxmlformats.org/officeDocument/2006/relationships/image" Target="../media/image9.png"/><Relationship Id="rId2" Type="http://schemas.openxmlformats.org/officeDocument/2006/relationships/image" Target="../media/image4.png"/><Relationship Id="rId16" Type="http://schemas.openxmlformats.org/officeDocument/2006/relationships/image" Target="../media/image18.png"/><Relationship Id="rId29" Type="http://schemas.openxmlformats.org/officeDocument/2006/relationships/image" Target="../media/image31.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40" Type="http://schemas.openxmlformats.org/officeDocument/2006/relationships/image" Target="../media/image42.png"/><Relationship Id="rId45" Type="http://schemas.openxmlformats.org/officeDocument/2006/relationships/image" Target="../media/image47.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png"/><Relationship Id="rId44" Type="http://schemas.openxmlformats.org/officeDocument/2006/relationships/image" Target="../media/image46.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8" Type="http://schemas.openxmlformats.org/officeDocument/2006/relationships/image" Target="../media/image10.png"/><Relationship Id="rId3" Type="http://schemas.openxmlformats.org/officeDocument/2006/relationships/image" Target="../media/image5.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20" Type="http://schemas.openxmlformats.org/officeDocument/2006/relationships/image" Target="../media/image22.png"/><Relationship Id="rId41" Type="http://schemas.openxmlformats.org/officeDocument/2006/relationships/image" Target="../media/image43.png"/></Relationships>
</file>

<file path=xl/drawings/_rels/drawing3.xml.rels><?xml version="1.0" encoding="UTF-8" standalone="yes"?>
<Relationships xmlns="http://schemas.openxmlformats.org/package/2006/relationships"><Relationship Id="rId26" Type="http://schemas.openxmlformats.org/officeDocument/2006/relationships/image" Target="../media/image73.jpg"/><Relationship Id="rId21" Type="http://schemas.openxmlformats.org/officeDocument/2006/relationships/image" Target="../media/image68.jpg"/><Relationship Id="rId42" Type="http://schemas.openxmlformats.org/officeDocument/2006/relationships/image" Target="../media/image89.png"/><Relationship Id="rId47" Type="http://schemas.openxmlformats.org/officeDocument/2006/relationships/image" Target="../media/image94.jpg"/><Relationship Id="rId63" Type="http://schemas.openxmlformats.org/officeDocument/2006/relationships/image" Target="../media/image109.png"/><Relationship Id="rId68" Type="http://schemas.openxmlformats.org/officeDocument/2006/relationships/image" Target="../media/image114.jpg"/><Relationship Id="rId2" Type="http://schemas.openxmlformats.org/officeDocument/2006/relationships/image" Target="../media/image49.jpg"/><Relationship Id="rId16" Type="http://schemas.openxmlformats.org/officeDocument/2006/relationships/image" Target="../media/image63.png"/><Relationship Id="rId29" Type="http://schemas.openxmlformats.org/officeDocument/2006/relationships/image" Target="../media/image76.jpg"/><Relationship Id="rId11" Type="http://schemas.openxmlformats.org/officeDocument/2006/relationships/image" Target="../media/image58.jpg"/><Relationship Id="rId24" Type="http://schemas.openxmlformats.org/officeDocument/2006/relationships/image" Target="../media/image71.jpg"/><Relationship Id="rId32" Type="http://schemas.openxmlformats.org/officeDocument/2006/relationships/image" Target="../media/image79.png"/><Relationship Id="rId37" Type="http://schemas.openxmlformats.org/officeDocument/2006/relationships/image" Target="../media/image84.jpg"/><Relationship Id="rId40" Type="http://schemas.openxmlformats.org/officeDocument/2006/relationships/image" Target="../media/image87.jpg"/><Relationship Id="rId45" Type="http://schemas.openxmlformats.org/officeDocument/2006/relationships/image" Target="../media/image92.png"/><Relationship Id="rId53" Type="http://schemas.openxmlformats.org/officeDocument/2006/relationships/image" Target="../media/image100.jpg"/><Relationship Id="rId58" Type="http://schemas.openxmlformats.org/officeDocument/2006/relationships/image" Target="../media/image105.png"/><Relationship Id="rId66" Type="http://schemas.openxmlformats.org/officeDocument/2006/relationships/image" Target="../media/image112.png"/><Relationship Id="rId5" Type="http://schemas.openxmlformats.org/officeDocument/2006/relationships/image" Target="../media/image52.jpg"/><Relationship Id="rId61" Type="http://schemas.openxmlformats.org/officeDocument/2006/relationships/image" Target="../media/image107.jpg"/><Relationship Id="rId19" Type="http://schemas.openxmlformats.org/officeDocument/2006/relationships/image" Target="../media/image66.png"/><Relationship Id="rId14" Type="http://schemas.openxmlformats.org/officeDocument/2006/relationships/image" Target="../media/image61.png"/><Relationship Id="rId22" Type="http://schemas.openxmlformats.org/officeDocument/2006/relationships/image" Target="../media/image69.jpg"/><Relationship Id="rId27" Type="http://schemas.openxmlformats.org/officeDocument/2006/relationships/image" Target="../media/image74.jpg"/><Relationship Id="rId30" Type="http://schemas.openxmlformats.org/officeDocument/2006/relationships/image" Target="../media/image77.jpg"/><Relationship Id="rId35" Type="http://schemas.openxmlformats.org/officeDocument/2006/relationships/image" Target="../media/image82.png"/><Relationship Id="rId43" Type="http://schemas.openxmlformats.org/officeDocument/2006/relationships/image" Target="../media/image90.png"/><Relationship Id="rId48" Type="http://schemas.openxmlformats.org/officeDocument/2006/relationships/image" Target="../media/image95.jpg"/><Relationship Id="rId56" Type="http://schemas.openxmlformats.org/officeDocument/2006/relationships/image" Target="../media/image103.jpg"/><Relationship Id="rId64" Type="http://schemas.openxmlformats.org/officeDocument/2006/relationships/image" Target="../media/image110.png"/><Relationship Id="rId69" Type="http://schemas.openxmlformats.org/officeDocument/2006/relationships/image" Target="../media/image115.jpg"/><Relationship Id="rId8" Type="http://schemas.openxmlformats.org/officeDocument/2006/relationships/image" Target="../media/image55.png"/><Relationship Id="rId51" Type="http://schemas.openxmlformats.org/officeDocument/2006/relationships/image" Target="../media/image98.jpg"/><Relationship Id="rId72" Type="http://schemas.openxmlformats.org/officeDocument/2006/relationships/image" Target="../media/image118.jpg"/><Relationship Id="rId3" Type="http://schemas.openxmlformats.org/officeDocument/2006/relationships/image" Target="../media/image50.jpg"/><Relationship Id="rId12" Type="http://schemas.openxmlformats.org/officeDocument/2006/relationships/image" Target="../media/image59.jpg"/><Relationship Id="rId17" Type="http://schemas.openxmlformats.org/officeDocument/2006/relationships/image" Target="../media/image64.png"/><Relationship Id="rId25" Type="http://schemas.openxmlformats.org/officeDocument/2006/relationships/image" Target="../media/image72.jpg"/><Relationship Id="rId33" Type="http://schemas.openxmlformats.org/officeDocument/2006/relationships/image" Target="../media/image80.png"/><Relationship Id="rId38" Type="http://schemas.openxmlformats.org/officeDocument/2006/relationships/image" Target="../media/image85.png"/><Relationship Id="rId46" Type="http://schemas.openxmlformats.org/officeDocument/2006/relationships/image" Target="../media/image93.png"/><Relationship Id="rId59" Type="http://schemas.openxmlformats.org/officeDocument/2006/relationships/image" Target="../media/image45.png"/><Relationship Id="rId67" Type="http://schemas.openxmlformats.org/officeDocument/2006/relationships/image" Target="../media/image113.png"/><Relationship Id="rId20" Type="http://schemas.openxmlformats.org/officeDocument/2006/relationships/image" Target="../media/image67.jpg"/><Relationship Id="rId41" Type="http://schemas.openxmlformats.org/officeDocument/2006/relationships/image" Target="../media/image88.png"/><Relationship Id="rId54" Type="http://schemas.openxmlformats.org/officeDocument/2006/relationships/image" Target="../media/image101.png"/><Relationship Id="rId62" Type="http://schemas.openxmlformats.org/officeDocument/2006/relationships/image" Target="../media/image108.jpg"/><Relationship Id="rId70" Type="http://schemas.openxmlformats.org/officeDocument/2006/relationships/image" Target="../media/image116.png"/><Relationship Id="rId1" Type="http://schemas.openxmlformats.org/officeDocument/2006/relationships/image" Target="../media/image48.jpg"/><Relationship Id="rId6" Type="http://schemas.openxmlformats.org/officeDocument/2006/relationships/image" Target="../media/image53.jpg"/><Relationship Id="rId15" Type="http://schemas.openxmlformats.org/officeDocument/2006/relationships/image" Target="../media/image62.png"/><Relationship Id="rId23" Type="http://schemas.openxmlformats.org/officeDocument/2006/relationships/image" Target="../media/image70.png"/><Relationship Id="rId28" Type="http://schemas.openxmlformats.org/officeDocument/2006/relationships/image" Target="../media/image75.jpg"/><Relationship Id="rId36" Type="http://schemas.openxmlformats.org/officeDocument/2006/relationships/image" Target="../media/image83.png"/><Relationship Id="rId49" Type="http://schemas.openxmlformats.org/officeDocument/2006/relationships/image" Target="../media/image96.jpg"/><Relationship Id="rId57" Type="http://schemas.openxmlformats.org/officeDocument/2006/relationships/image" Target="../media/image104.jpg"/><Relationship Id="rId10" Type="http://schemas.openxmlformats.org/officeDocument/2006/relationships/image" Target="../media/image57.jpg"/><Relationship Id="rId31" Type="http://schemas.openxmlformats.org/officeDocument/2006/relationships/image" Target="../media/image78.png"/><Relationship Id="rId44" Type="http://schemas.openxmlformats.org/officeDocument/2006/relationships/image" Target="../media/image91.png"/><Relationship Id="rId52" Type="http://schemas.openxmlformats.org/officeDocument/2006/relationships/image" Target="../media/image99.jpg"/><Relationship Id="rId60" Type="http://schemas.openxmlformats.org/officeDocument/2006/relationships/image" Target="../media/image106.png"/><Relationship Id="rId65" Type="http://schemas.openxmlformats.org/officeDocument/2006/relationships/image" Target="../media/image111.png"/><Relationship Id="rId73" Type="http://schemas.openxmlformats.org/officeDocument/2006/relationships/image" Target="../media/image119.png"/><Relationship Id="rId4" Type="http://schemas.openxmlformats.org/officeDocument/2006/relationships/image" Target="../media/image51.jpg"/><Relationship Id="rId9" Type="http://schemas.openxmlformats.org/officeDocument/2006/relationships/image" Target="../media/image56.png"/><Relationship Id="rId13" Type="http://schemas.openxmlformats.org/officeDocument/2006/relationships/image" Target="../media/image60.png"/><Relationship Id="rId18" Type="http://schemas.openxmlformats.org/officeDocument/2006/relationships/image" Target="../media/image65.jpg"/><Relationship Id="rId39" Type="http://schemas.openxmlformats.org/officeDocument/2006/relationships/image" Target="../media/image86.png"/><Relationship Id="rId34" Type="http://schemas.openxmlformats.org/officeDocument/2006/relationships/image" Target="../media/image81.png"/><Relationship Id="rId50" Type="http://schemas.openxmlformats.org/officeDocument/2006/relationships/image" Target="../media/image97.jpg"/><Relationship Id="rId55" Type="http://schemas.openxmlformats.org/officeDocument/2006/relationships/image" Target="../media/image102.png"/><Relationship Id="rId7" Type="http://schemas.openxmlformats.org/officeDocument/2006/relationships/image" Target="../media/image54.jpg"/><Relationship Id="rId71" Type="http://schemas.openxmlformats.org/officeDocument/2006/relationships/image" Target="../media/image117.png"/></Relationships>
</file>

<file path=xl/drawings/_rels/drawing4.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30.png"/><Relationship Id="rId4" Type="http://schemas.openxmlformats.org/officeDocument/2006/relationships/image" Target="../media/image31.png"/></Relationships>
</file>

<file path=xl/drawings/_rels/drawing6.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4.png"/><Relationship Id="rId1" Type="http://schemas.openxmlformats.org/officeDocument/2006/relationships/image" Target="../media/image32.png"/></Relationships>
</file>

<file path=xl/drawings/_rels/drawing7.xml.rels><?xml version="1.0" encoding="UTF-8" standalone="yes"?>
<Relationships xmlns="http://schemas.openxmlformats.org/package/2006/relationships"><Relationship Id="rId2" Type="http://schemas.openxmlformats.org/officeDocument/2006/relationships/image" Target="../media/image121.png"/><Relationship Id="rId1" Type="http://schemas.openxmlformats.org/officeDocument/2006/relationships/image" Target="../media/image120.png"/></Relationships>
</file>

<file path=xl/drawings/_rels/drawing8.xml.rels><?xml version="1.0" encoding="UTF-8" standalone="yes"?>
<Relationships xmlns="http://schemas.openxmlformats.org/package/2006/relationships"><Relationship Id="rId2" Type="http://schemas.openxmlformats.org/officeDocument/2006/relationships/image" Target="../media/image123.png"/><Relationship Id="rId1" Type="http://schemas.openxmlformats.org/officeDocument/2006/relationships/image" Target="../media/image122.png"/></Relationships>
</file>

<file path=xl/drawings/_rels/drawing9.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12.png"/><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2.png"/><Relationship Id="rId7" Type="http://schemas.openxmlformats.org/officeDocument/2006/relationships/image" Target="../media/image18.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7.png"/><Relationship Id="rId5" Type="http://schemas.openxmlformats.org/officeDocument/2006/relationships/image" Target="../media/image16.png"/><Relationship Id="rId4"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39.png"/><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23.png"/></Relationships>
</file>

<file path=xl/drawings/_rels/drawing17.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24.png"/></Relationships>
</file>

<file path=xl/drawings/_rels/drawing18.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42.png"/></Relationships>
</file>

<file path=xl/drawings/_rels/drawing19.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2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2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36.png"/><Relationship Id="rId1" Type="http://schemas.openxmlformats.org/officeDocument/2006/relationships/image" Target="../media/image35.png"/><Relationship Id="rId5" Type="http://schemas.openxmlformats.org/officeDocument/2006/relationships/image" Target="../media/image47.png"/><Relationship Id="rId4" Type="http://schemas.openxmlformats.org/officeDocument/2006/relationships/image" Target="../media/image46.png"/></Relationships>
</file>

<file path=xl/drawings/_rels/drawing22.xml.rels><?xml version="1.0" encoding="UTF-8" standalone="yes"?>
<Relationships xmlns="http://schemas.openxmlformats.org/package/2006/relationships"><Relationship Id="rId2" Type="http://schemas.openxmlformats.org/officeDocument/2006/relationships/image" Target="../media/image54.jpg"/><Relationship Id="rId1" Type="http://schemas.openxmlformats.org/officeDocument/2006/relationships/image" Target="../media/image53.jpg"/></Relationships>
</file>

<file path=xl/drawings/_rels/drawing23.xml.rels><?xml version="1.0" encoding="UTF-8" standalone="yes"?>
<Relationships xmlns="http://schemas.openxmlformats.org/package/2006/relationships"><Relationship Id="rId1" Type="http://schemas.openxmlformats.org/officeDocument/2006/relationships/image" Target="../media/image5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98.jpg"/></Relationships>
</file>

<file path=xl/drawings/_rels/drawing25.x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7.jpg"/></Relationships>
</file>

<file path=xl/drawings/_rels/drawing26.xml.rels><?xml version="1.0" encoding="UTF-8" standalone="yes"?>
<Relationships xmlns="http://schemas.openxmlformats.org/package/2006/relationships"><Relationship Id="rId2" Type="http://schemas.openxmlformats.org/officeDocument/2006/relationships/image" Target="../media/image100.jpg"/><Relationship Id="rId1" Type="http://schemas.openxmlformats.org/officeDocument/2006/relationships/image" Target="../media/image99.jpg"/></Relationships>
</file>

<file path=xl/drawings/_rels/drawing27.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28.xml.rels><?xml version="1.0" encoding="UTF-8" standalone="yes"?>
<Relationships xmlns="http://schemas.openxmlformats.org/package/2006/relationships"><Relationship Id="rId1" Type="http://schemas.openxmlformats.org/officeDocument/2006/relationships/image" Target="../media/image58.jpg"/></Relationships>
</file>

<file path=xl/drawings/_rels/drawing29.xml.rels><?xml version="1.0" encoding="UTF-8" standalone="yes"?>
<Relationships xmlns="http://schemas.openxmlformats.org/package/2006/relationships"><Relationship Id="rId1" Type="http://schemas.openxmlformats.org/officeDocument/2006/relationships/image" Target="../media/image59.jpg"/></Relationships>
</file>

<file path=xl/drawings/_rels/drawing30.xml.rels><?xml version="1.0" encoding="UTF-8" standalone="yes"?>
<Relationships xmlns="http://schemas.openxmlformats.org/package/2006/relationships"><Relationship Id="rId1" Type="http://schemas.openxmlformats.org/officeDocument/2006/relationships/image" Target="../media/image59.jpg"/></Relationships>
</file>

<file path=xl/drawings/_rels/drawing31.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102.png"/><Relationship Id="rId5" Type="http://schemas.openxmlformats.org/officeDocument/2006/relationships/image" Target="../media/image63.png"/><Relationship Id="rId4" Type="http://schemas.openxmlformats.org/officeDocument/2006/relationships/image" Target="../media/image6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64.png"/></Relationships>
</file>

<file path=xl/drawings/_rels/drawing33.xml.rels><?xml version="1.0" encoding="UTF-8" standalone="yes"?>
<Relationships xmlns="http://schemas.openxmlformats.org/package/2006/relationships"><Relationship Id="rId1" Type="http://schemas.openxmlformats.org/officeDocument/2006/relationships/image" Target="../media/image65.jpg"/></Relationships>
</file>

<file path=xl/drawings/_rels/drawing34.xml.rels><?xml version="1.0" encoding="UTF-8" standalone="yes"?>
<Relationships xmlns="http://schemas.openxmlformats.org/package/2006/relationships"><Relationship Id="rId1" Type="http://schemas.openxmlformats.org/officeDocument/2006/relationships/image" Target="../media/image67.jpg"/></Relationships>
</file>

<file path=xl/drawings/_rels/drawing35.xml.rels><?xml version="1.0" encoding="UTF-8" standalone="yes"?>
<Relationships xmlns="http://schemas.openxmlformats.org/package/2006/relationships"><Relationship Id="rId3" Type="http://schemas.openxmlformats.org/officeDocument/2006/relationships/image" Target="../media/image103.jpg"/><Relationship Id="rId2" Type="http://schemas.openxmlformats.org/officeDocument/2006/relationships/image" Target="../media/image49.jpg"/><Relationship Id="rId1" Type="http://schemas.openxmlformats.org/officeDocument/2006/relationships/image" Target="../media/image48.jpg"/></Relationships>
</file>

<file path=xl/drawings/_rels/drawing36.xml.rels><?xml version="1.0" encoding="UTF-8" standalone="yes"?>
<Relationships xmlns="http://schemas.openxmlformats.org/package/2006/relationships"><Relationship Id="rId2" Type="http://schemas.openxmlformats.org/officeDocument/2006/relationships/image" Target="../media/image68.jpg"/><Relationship Id="rId1" Type="http://schemas.openxmlformats.org/officeDocument/2006/relationships/image" Target="../media/image104.jpg"/></Relationships>
</file>

<file path=xl/drawings/_rels/drawing37.xml.rels><?xml version="1.0" encoding="UTF-8" standalone="yes"?>
<Relationships xmlns="http://schemas.openxmlformats.org/package/2006/relationships"><Relationship Id="rId1" Type="http://schemas.openxmlformats.org/officeDocument/2006/relationships/image" Target="../media/image69.jpg"/></Relationships>
</file>

<file path=xl/drawings/_rels/drawing38.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24.png"/></Relationships>
</file>

<file path=xl/drawings/_rels/drawing39.xml.rels><?xml version="1.0" encoding="UTF-8" standalone="yes"?>
<Relationships xmlns="http://schemas.openxmlformats.org/package/2006/relationships"><Relationship Id="rId3" Type="http://schemas.openxmlformats.org/officeDocument/2006/relationships/image" Target="../media/image70.png"/><Relationship Id="rId2" Type="http://schemas.openxmlformats.org/officeDocument/2006/relationships/image" Target="../media/image106.png"/><Relationship Id="rId1" Type="http://schemas.openxmlformats.org/officeDocument/2006/relationships/image" Target="../media/image4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73.jpg"/><Relationship Id="rId2" Type="http://schemas.openxmlformats.org/officeDocument/2006/relationships/image" Target="../media/image72.jpg"/><Relationship Id="rId1" Type="http://schemas.openxmlformats.org/officeDocument/2006/relationships/image" Target="../media/image71.jpg"/></Relationships>
</file>

<file path=xl/drawings/_rels/drawing41.xml.rels><?xml version="1.0" encoding="UTF-8" standalone="yes"?>
<Relationships xmlns="http://schemas.openxmlformats.org/package/2006/relationships"><Relationship Id="rId1" Type="http://schemas.openxmlformats.org/officeDocument/2006/relationships/image" Target="../media/image74.jpg"/></Relationships>
</file>

<file path=xl/drawings/_rels/drawing42.xml.rels><?xml version="1.0" encoding="UTF-8" standalone="yes"?>
<Relationships xmlns="http://schemas.openxmlformats.org/package/2006/relationships"><Relationship Id="rId1" Type="http://schemas.openxmlformats.org/officeDocument/2006/relationships/image" Target="../media/image75.jpg"/></Relationships>
</file>

<file path=xl/drawings/_rels/drawing43.xml.rels><?xml version="1.0" encoding="UTF-8" standalone="yes"?>
<Relationships xmlns="http://schemas.openxmlformats.org/package/2006/relationships"><Relationship Id="rId1" Type="http://schemas.openxmlformats.org/officeDocument/2006/relationships/image" Target="../media/image107.jpg"/></Relationships>
</file>

<file path=xl/drawings/_rels/drawing44.xml.rels><?xml version="1.0" encoding="UTF-8" standalone="yes"?>
<Relationships xmlns="http://schemas.openxmlformats.org/package/2006/relationships"><Relationship Id="rId1" Type="http://schemas.openxmlformats.org/officeDocument/2006/relationships/image" Target="../media/image108.jpg"/></Relationships>
</file>

<file path=xl/drawings/_rels/drawing45.xml.rels><?xml version="1.0" encoding="UTF-8" standalone="yes"?>
<Relationships xmlns="http://schemas.openxmlformats.org/package/2006/relationships"><Relationship Id="rId1" Type="http://schemas.openxmlformats.org/officeDocument/2006/relationships/image" Target="../media/image77.jpg"/></Relationships>
</file>

<file path=xl/drawings/_rels/drawing46.xml.rels><?xml version="1.0" encoding="UTF-8" standalone="yes"?>
<Relationships xmlns="http://schemas.openxmlformats.org/package/2006/relationships"><Relationship Id="rId8" Type="http://schemas.openxmlformats.org/officeDocument/2006/relationships/image" Target="../media/image109.png"/><Relationship Id="rId3" Type="http://schemas.openxmlformats.org/officeDocument/2006/relationships/image" Target="../media/image82.png"/><Relationship Id="rId7" Type="http://schemas.openxmlformats.org/officeDocument/2006/relationships/image" Target="../media/image78.png"/><Relationship Id="rId2" Type="http://schemas.openxmlformats.org/officeDocument/2006/relationships/image" Target="../media/image51.jpg"/><Relationship Id="rId1" Type="http://schemas.openxmlformats.org/officeDocument/2006/relationships/image" Target="../media/image50.jpg"/><Relationship Id="rId6" Type="http://schemas.openxmlformats.org/officeDocument/2006/relationships/image" Target="../media/image81.png"/><Relationship Id="rId5" Type="http://schemas.openxmlformats.org/officeDocument/2006/relationships/image" Target="../media/image84.jpg"/><Relationship Id="rId10" Type="http://schemas.openxmlformats.org/officeDocument/2006/relationships/image" Target="../media/image80.png"/><Relationship Id="rId4" Type="http://schemas.openxmlformats.org/officeDocument/2006/relationships/image" Target="../media/image83.png"/><Relationship Id="rId9" Type="http://schemas.openxmlformats.org/officeDocument/2006/relationships/image" Target="../media/image79.png"/></Relationships>
</file>

<file path=xl/drawings/_rels/drawing47.xml.rels><?xml version="1.0" encoding="UTF-8" standalone="yes"?>
<Relationships xmlns="http://schemas.openxmlformats.org/package/2006/relationships"><Relationship Id="rId1" Type="http://schemas.openxmlformats.org/officeDocument/2006/relationships/image" Target="../media/image85.png"/></Relationships>
</file>

<file path=xl/drawings/_rels/drawing48.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9.xml.rels><?xml version="1.0" encoding="UTF-8" standalone="yes"?>
<Relationships xmlns="http://schemas.openxmlformats.org/package/2006/relationships"><Relationship Id="rId3" Type="http://schemas.openxmlformats.org/officeDocument/2006/relationships/image" Target="../media/image86.png"/><Relationship Id="rId2" Type="http://schemas.openxmlformats.org/officeDocument/2006/relationships/image" Target="../media/image87.jpg"/><Relationship Id="rId1" Type="http://schemas.openxmlformats.org/officeDocument/2006/relationships/image" Target="../media/image111.png"/></Relationships>
</file>

<file path=xl/drawings/_rels/drawing50.xml.rels><?xml version="1.0" encoding="UTF-8" standalone="yes"?>
<Relationships xmlns="http://schemas.openxmlformats.org/package/2006/relationships"><Relationship Id="rId2" Type="http://schemas.openxmlformats.org/officeDocument/2006/relationships/image" Target="../media/image113.png"/><Relationship Id="rId1" Type="http://schemas.openxmlformats.org/officeDocument/2006/relationships/image" Target="../media/image112.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52.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8.png"/><Relationship Id="rId1" Type="http://schemas.openxmlformats.org/officeDocument/2006/relationships/image" Target="../media/image89.png"/></Relationships>
</file>

<file path=xl/drawings/_rels/drawing53.xml.rels><?xml version="1.0" encoding="UTF-8" standalone="yes"?>
<Relationships xmlns="http://schemas.openxmlformats.org/package/2006/relationships"><Relationship Id="rId1" Type="http://schemas.openxmlformats.org/officeDocument/2006/relationships/image" Target="../media/image114.jpg"/></Relationships>
</file>

<file path=xl/drawings/_rels/drawing54.xml.rels><?xml version="1.0" encoding="UTF-8" standalone="yes"?>
<Relationships xmlns="http://schemas.openxmlformats.org/package/2006/relationships"><Relationship Id="rId1" Type="http://schemas.openxmlformats.org/officeDocument/2006/relationships/image" Target="../media/image115.jpg"/></Relationships>
</file>

<file path=xl/drawings/_rels/drawing55.xml.rels><?xml version="1.0" encoding="UTF-8" standalone="yes"?>
<Relationships xmlns="http://schemas.openxmlformats.org/package/2006/relationships"><Relationship Id="rId3" Type="http://schemas.openxmlformats.org/officeDocument/2006/relationships/image" Target="../media/image92.png"/><Relationship Id="rId2" Type="http://schemas.openxmlformats.org/officeDocument/2006/relationships/image" Target="../media/image116.png"/><Relationship Id="rId1" Type="http://schemas.openxmlformats.org/officeDocument/2006/relationships/image" Target="../media/image91.png"/></Relationships>
</file>

<file path=xl/drawings/_rels/drawing56.xml.rels><?xml version="1.0" encoding="UTF-8" standalone="yes"?>
<Relationships xmlns="http://schemas.openxmlformats.org/package/2006/relationships"><Relationship Id="rId2" Type="http://schemas.openxmlformats.org/officeDocument/2006/relationships/image" Target="../media/image117.png"/><Relationship Id="rId1" Type="http://schemas.openxmlformats.org/officeDocument/2006/relationships/image" Target="../media/image93.png"/></Relationships>
</file>

<file path=xl/drawings/_rels/drawing57.xml.rels><?xml version="1.0" encoding="UTF-8" standalone="yes"?>
<Relationships xmlns="http://schemas.openxmlformats.org/package/2006/relationships"><Relationship Id="rId2" Type="http://schemas.openxmlformats.org/officeDocument/2006/relationships/image" Target="../media/image79.png"/><Relationship Id="rId1" Type="http://schemas.openxmlformats.org/officeDocument/2006/relationships/image" Target="../media/image94.jpg"/></Relationships>
</file>

<file path=xl/drawings/_rels/drawing58.xml.rels><?xml version="1.0" encoding="UTF-8" standalone="yes"?>
<Relationships xmlns="http://schemas.openxmlformats.org/package/2006/relationships"><Relationship Id="rId2" Type="http://schemas.openxmlformats.org/officeDocument/2006/relationships/image" Target="../media/image96.jpg"/><Relationship Id="rId1" Type="http://schemas.openxmlformats.org/officeDocument/2006/relationships/image" Target="../media/image95.jpg"/></Relationships>
</file>

<file path=xl/drawings/_rels/drawing59.xml.rels><?xml version="1.0" encoding="UTF-8" standalone="yes"?>
<Relationships xmlns="http://schemas.openxmlformats.org/package/2006/relationships"><Relationship Id="rId2" Type="http://schemas.openxmlformats.org/officeDocument/2006/relationships/image" Target="../media/image118.jpg"/><Relationship Id="rId1" Type="http://schemas.openxmlformats.org/officeDocument/2006/relationships/image" Target="../media/image97.jpg"/></Relationships>
</file>

<file path=xl/drawings/_rels/drawing60.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26.jpg"/><Relationship Id="rId1" Type="http://schemas.openxmlformats.org/officeDocument/2006/relationships/image" Target="../media/image76.jpg"/></Relationships>
</file>

<file path=xl/drawings/drawing1.xml><?xml version="1.0" encoding="utf-8"?>
<xdr:wsDr xmlns:xdr="http://schemas.openxmlformats.org/drawingml/2006/spreadsheetDrawing" xmlns:a="http://schemas.openxmlformats.org/drawingml/2006/main">
  <xdr:oneCellAnchor>
    <xdr:from>
      <xdr:col>1</xdr:col>
      <xdr:colOff>19050</xdr:colOff>
      <xdr:row>1</xdr:row>
      <xdr:rowOff>57150</xdr:rowOff>
    </xdr:from>
    <xdr:ext cx="561975" cy="190500"/>
    <xdr:pic>
      <xdr:nvPicPr>
        <xdr:cNvPr id="2" name="image3.png" title="Imagen">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1</xdr:row>
      <xdr:rowOff>0</xdr:rowOff>
    </xdr:from>
    <xdr:ext cx="1409700" cy="904875"/>
    <xdr:pic>
      <xdr:nvPicPr>
        <xdr:cNvPr id="3" name="image21.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2</xdr:col>
      <xdr:colOff>381000</xdr:colOff>
      <xdr:row>5</xdr:row>
      <xdr:rowOff>200025</xdr:rowOff>
    </xdr:from>
    <xdr:ext cx="1552575" cy="752475"/>
    <xdr:pic>
      <xdr:nvPicPr>
        <xdr:cNvPr id="2" name="image4.png" title="Imagen">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38100</xdr:colOff>
      <xdr:row>7</xdr:row>
      <xdr:rowOff>19050</xdr:rowOff>
    </xdr:from>
    <xdr:ext cx="1504950" cy="1666875"/>
    <xdr:pic>
      <xdr:nvPicPr>
        <xdr:cNvPr id="3" name="image16.png" title="Imagen">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28575</xdr:colOff>
      <xdr:row>23</xdr:row>
      <xdr:rowOff>1066800</xdr:rowOff>
    </xdr:from>
    <xdr:ext cx="1485900" cy="742950"/>
    <xdr:pic>
      <xdr:nvPicPr>
        <xdr:cNvPr id="4" name="image19.png" title="Imagen">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19050</xdr:colOff>
      <xdr:row>24</xdr:row>
      <xdr:rowOff>790575</xdr:rowOff>
    </xdr:from>
    <xdr:ext cx="1485900" cy="1209675"/>
    <xdr:pic>
      <xdr:nvPicPr>
        <xdr:cNvPr id="5" name="image9.png" title="Imagen">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381000</xdr:colOff>
      <xdr:row>55</xdr:row>
      <xdr:rowOff>47625</xdr:rowOff>
    </xdr:from>
    <xdr:ext cx="1057275" cy="1162050"/>
    <xdr:pic>
      <xdr:nvPicPr>
        <xdr:cNvPr id="6" name="image2.png" title="Imagen">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95250</xdr:colOff>
      <xdr:row>55</xdr:row>
      <xdr:rowOff>1438275</xdr:rowOff>
    </xdr:from>
    <xdr:ext cx="914400" cy="1104900"/>
    <xdr:pic>
      <xdr:nvPicPr>
        <xdr:cNvPr id="7" name="image20.png" title="Imagen">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95250</xdr:colOff>
      <xdr:row>61</xdr:row>
      <xdr:rowOff>342900</xdr:rowOff>
    </xdr:from>
    <xdr:ext cx="1076325" cy="1162050"/>
    <xdr:pic>
      <xdr:nvPicPr>
        <xdr:cNvPr id="8" name="image10.png" title="Imagen">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123825</xdr:colOff>
      <xdr:row>63</xdr:row>
      <xdr:rowOff>95250</xdr:rowOff>
    </xdr:from>
    <xdr:ext cx="1266825" cy="971550"/>
    <xdr:pic>
      <xdr:nvPicPr>
        <xdr:cNvPr id="9" name="image8.png" title="Imagen">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247650</xdr:colOff>
      <xdr:row>77</xdr:row>
      <xdr:rowOff>19050</xdr:rowOff>
    </xdr:from>
    <xdr:ext cx="1571625" cy="914400"/>
    <xdr:pic>
      <xdr:nvPicPr>
        <xdr:cNvPr id="10" name="image11.png" title="Imagen">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314325</xdr:colOff>
      <xdr:row>78</xdr:row>
      <xdr:rowOff>95250</xdr:rowOff>
    </xdr:from>
    <xdr:ext cx="1571625" cy="1209675"/>
    <xdr:pic>
      <xdr:nvPicPr>
        <xdr:cNvPr id="11" name="image13.png" title="Imagen">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190500</xdr:colOff>
      <xdr:row>84</xdr:row>
      <xdr:rowOff>47625</xdr:rowOff>
    </xdr:from>
    <xdr:ext cx="1971675" cy="1209675"/>
    <xdr:pic>
      <xdr:nvPicPr>
        <xdr:cNvPr id="12" name="image14.png" title="Imagen">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161925</xdr:colOff>
      <xdr:row>88</xdr:row>
      <xdr:rowOff>1209675</xdr:rowOff>
    </xdr:from>
    <xdr:ext cx="1828800" cy="1390650"/>
    <xdr:pic>
      <xdr:nvPicPr>
        <xdr:cNvPr id="13" name="image22.png" title="Imagen">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133350</xdr:colOff>
      <xdr:row>84</xdr:row>
      <xdr:rowOff>1257300</xdr:rowOff>
    </xdr:from>
    <xdr:ext cx="1552575" cy="1476375"/>
    <xdr:pic>
      <xdr:nvPicPr>
        <xdr:cNvPr id="14" name="image13.png" title="Imagen">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76200</xdr:colOff>
      <xdr:row>86</xdr:row>
      <xdr:rowOff>76200</xdr:rowOff>
    </xdr:from>
    <xdr:ext cx="1933575" cy="1276350"/>
    <xdr:pic>
      <xdr:nvPicPr>
        <xdr:cNvPr id="15" name="image12.png" title="Imagen">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95250</xdr:colOff>
      <xdr:row>87</xdr:row>
      <xdr:rowOff>57150</xdr:rowOff>
    </xdr:from>
    <xdr:ext cx="2238375" cy="1209675"/>
    <xdr:pic>
      <xdr:nvPicPr>
        <xdr:cNvPr id="16" name="image18.png" title="Imagen">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133350</xdr:colOff>
      <xdr:row>87</xdr:row>
      <xdr:rowOff>1295400</xdr:rowOff>
    </xdr:from>
    <xdr:ext cx="2190750" cy="1209675"/>
    <xdr:pic>
      <xdr:nvPicPr>
        <xdr:cNvPr id="17" name="image7.png" title="Imagen">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190500</xdr:colOff>
      <xdr:row>90</xdr:row>
      <xdr:rowOff>38100</xdr:rowOff>
    </xdr:from>
    <xdr:ext cx="2085975" cy="1162050"/>
    <xdr:pic>
      <xdr:nvPicPr>
        <xdr:cNvPr id="18" name="image1.png" title="Imagen">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361950</xdr:colOff>
      <xdr:row>96</xdr:row>
      <xdr:rowOff>47625</xdr:rowOff>
    </xdr:from>
    <xdr:ext cx="1466850" cy="933450"/>
    <xdr:pic>
      <xdr:nvPicPr>
        <xdr:cNvPr id="19" name="image5.png" title="Imagen">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609600</xdr:colOff>
      <xdr:row>97</xdr:row>
      <xdr:rowOff>47625</xdr:rowOff>
    </xdr:from>
    <xdr:ext cx="914400" cy="1009650"/>
    <xdr:pic>
      <xdr:nvPicPr>
        <xdr:cNvPr id="20" name="image6.png" title="Imagen">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1790700</xdr:colOff>
      <xdr:row>96</xdr:row>
      <xdr:rowOff>76200</xdr:rowOff>
    </xdr:from>
    <xdr:ext cx="666750" cy="752475"/>
    <xdr:pic>
      <xdr:nvPicPr>
        <xdr:cNvPr id="21" name="image15.png" title="Imagen">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1581150</xdr:colOff>
      <xdr:row>97</xdr:row>
      <xdr:rowOff>57150</xdr:rowOff>
    </xdr:from>
    <xdr:ext cx="790575" cy="933450"/>
    <xdr:pic>
      <xdr:nvPicPr>
        <xdr:cNvPr id="22" name="image17.png" title="Imagen">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19050</xdr:colOff>
      <xdr:row>105</xdr:row>
      <xdr:rowOff>47625</xdr:rowOff>
    </xdr:from>
    <xdr:ext cx="2190750" cy="1914525"/>
    <xdr:pic>
      <xdr:nvPicPr>
        <xdr:cNvPr id="23" name="image17.png" title="Imagen">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571500</xdr:colOff>
      <xdr:row>111</xdr:row>
      <xdr:rowOff>28575</xdr:rowOff>
    </xdr:from>
    <xdr:ext cx="1266825" cy="1209675"/>
    <xdr:pic>
      <xdr:nvPicPr>
        <xdr:cNvPr id="24" name="image26.png" title="Imagen">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123825</xdr:colOff>
      <xdr:row>119</xdr:row>
      <xdr:rowOff>28575</xdr:rowOff>
    </xdr:from>
    <xdr:ext cx="1828800" cy="1209675"/>
    <xdr:pic>
      <xdr:nvPicPr>
        <xdr:cNvPr id="25" name="image24.png" title="Imagen">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57150</xdr:colOff>
      <xdr:row>127</xdr:row>
      <xdr:rowOff>28575</xdr:rowOff>
    </xdr:from>
    <xdr:ext cx="2238375" cy="1276350"/>
    <xdr:pic>
      <xdr:nvPicPr>
        <xdr:cNvPr id="26" name="image29.png" title="Imagen">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247650</xdr:colOff>
      <xdr:row>134</xdr:row>
      <xdr:rowOff>28575</xdr:rowOff>
    </xdr:from>
    <xdr:ext cx="1828800" cy="1276350"/>
    <xdr:pic>
      <xdr:nvPicPr>
        <xdr:cNvPr id="27" name="image35.png" title="Imagen">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85725</xdr:colOff>
      <xdr:row>145</xdr:row>
      <xdr:rowOff>38100</xdr:rowOff>
    </xdr:from>
    <xdr:ext cx="2238375" cy="1162050"/>
    <xdr:pic>
      <xdr:nvPicPr>
        <xdr:cNvPr id="28" name="image27.png" title="Imagen">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0</xdr:colOff>
      <xdr:row>14</xdr:row>
      <xdr:rowOff>0</xdr:rowOff>
    </xdr:from>
    <xdr:ext cx="1228725" cy="866775"/>
    <xdr:pic>
      <xdr:nvPicPr>
        <xdr:cNvPr id="29" name="image38.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0</xdr:colOff>
      <xdr:row>15</xdr:row>
      <xdr:rowOff>0</xdr:rowOff>
    </xdr:from>
    <xdr:ext cx="1571625" cy="838200"/>
    <xdr:pic>
      <xdr:nvPicPr>
        <xdr:cNvPr id="30" name="image42.pn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0</xdr:colOff>
      <xdr:row>23</xdr:row>
      <xdr:rowOff>0</xdr:rowOff>
    </xdr:from>
    <xdr:ext cx="1181100" cy="1066800"/>
    <xdr:pic>
      <xdr:nvPicPr>
        <xdr:cNvPr id="31" name="image28.png">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0</xdr:colOff>
      <xdr:row>26</xdr:row>
      <xdr:rowOff>0</xdr:rowOff>
    </xdr:from>
    <xdr:ext cx="1038225" cy="1238250"/>
    <xdr:pic>
      <xdr:nvPicPr>
        <xdr:cNvPr id="32" name="image30.png">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0</xdr:colOff>
      <xdr:row>34</xdr:row>
      <xdr:rowOff>0</xdr:rowOff>
    </xdr:from>
    <xdr:ext cx="1133475" cy="1238250"/>
    <xdr:pic>
      <xdr:nvPicPr>
        <xdr:cNvPr id="33" name="image32.png">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0</xdr:colOff>
      <xdr:row>35</xdr:row>
      <xdr:rowOff>0</xdr:rowOff>
    </xdr:from>
    <xdr:ext cx="1514475" cy="847725"/>
    <xdr:pic>
      <xdr:nvPicPr>
        <xdr:cNvPr id="34" name="image33.pn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0</xdr:colOff>
      <xdr:row>36</xdr:row>
      <xdr:rowOff>0</xdr:rowOff>
    </xdr:from>
    <xdr:ext cx="1466850" cy="847725"/>
    <xdr:pic>
      <xdr:nvPicPr>
        <xdr:cNvPr id="35" name="image23.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0</xdr:colOff>
      <xdr:row>68</xdr:row>
      <xdr:rowOff>0</xdr:rowOff>
    </xdr:from>
    <xdr:ext cx="266700" cy="200025"/>
    <xdr:pic>
      <xdr:nvPicPr>
        <xdr:cNvPr id="36" name="image25.png">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0</xdr:colOff>
      <xdr:row>69</xdr:row>
      <xdr:rowOff>0</xdr:rowOff>
    </xdr:from>
    <xdr:ext cx="361950" cy="200025"/>
    <xdr:pic>
      <xdr:nvPicPr>
        <xdr:cNvPr id="37" name="image39.png">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0</xdr:colOff>
      <xdr:row>70</xdr:row>
      <xdr:rowOff>0</xdr:rowOff>
    </xdr:from>
    <xdr:ext cx="209550" cy="200025"/>
    <xdr:pic>
      <xdr:nvPicPr>
        <xdr:cNvPr id="38" name="image36.png">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0</xdr:colOff>
      <xdr:row>76</xdr:row>
      <xdr:rowOff>0</xdr:rowOff>
    </xdr:from>
    <xdr:ext cx="1333500" cy="1047750"/>
    <xdr:pic>
      <xdr:nvPicPr>
        <xdr:cNvPr id="39" name="image52.png">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0</xdr:colOff>
      <xdr:row>98</xdr:row>
      <xdr:rowOff>0</xdr:rowOff>
    </xdr:from>
    <xdr:ext cx="2581275" cy="1485900"/>
    <xdr:pic>
      <xdr:nvPicPr>
        <xdr:cNvPr id="40" name="image46.png">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0</xdr:colOff>
      <xdr:row>104</xdr:row>
      <xdr:rowOff>0</xdr:rowOff>
    </xdr:from>
    <xdr:ext cx="1533525" cy="1752600"/>
    <xdr:pic>
      <xdr:nvPicPr>
        <xdr:cNvPr id="41" name="image15.pn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0</xdr:colOff>
      <xdr:row>112</xdr:row>
      <xdr:rowOff>0</xdr:rowOff>
    </xdr:from>
    <xdr:ext cx="1685925" cy="1333500"/>
    <xdr:pic>
      <xdr:nvPicPr>
        <xdr:cNvPr id="42" name="image43.png">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0</xdr:colOff>
      <xdr:row>118</xdr:row>
      <xdr:rowOff>0</xdr:rowOff>
    </xdr:from>
    <xdr:ext cx="866775" cy="1790700"/>
    <xdr:pic>
      <xdr:nvPicPr>
        <xdr:cNvPr id="43" name="image31.png">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2</xdr:col>
      <xdr:colOff>0</xdr:colOff>
      <xdr:row>126</xdr:row>
      <xdr:rowOff>0</xdr:rowOff>
    </xdr:from>
    <xdr:ext cx="238125" cy="200025"/>
    <xdr:pic>
      <xdr:nvPicPr>
        <xdr:cNvPr id="44" name="image49.png">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0</xdr:colOff>
      <xdr:row>135</xdr:row>
      <xdr:rowOff>0</xdr:rowOff>
    </xdr:from>
    <xdr:ext cx="1562100" cy="1247775"/>
    <xdr:pic>
      <xdr:nvPicPr>
        <xdr:cNvPr id="45" name="image44.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0</xdr:colOff>
      <xdr:row>146</xdr:row>
      <xdr:rowOff>0</xdr:rowOff>
    </xdr:from>
    <xdr:ext cx="2171700" cy="1571625"/>
    <xdr:pic>
      <xdr:nvPicPr>
        <xdr:cNvPr id="46" name="image54.png">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0</xdr:colOff>
      <xdr:row>152</xdr:row>
      <xdr:rowOff>0</xdr:rowOff>
    </xdr:from>
    <xdr:ext cx="2266950" cy="1666875"/>
    <xdr:pic>
      <xdr:nvPicPr>
        <xdr:cNvPr id="47" name="image25.png">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0</xdr:colOff>
      <xdr:row>153</xdr:row>
      <xdr:rowOff>0</xdr:rowOff>
    </xdr:from>
    <xdr:ext cx="2581275" cy="1419225"/>
    <xdr:pic>
      <xdr:nvPicPr>
        <xdr:cNvPr id="48" name="image39.png">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0</xdr:colOff>
      <xdr:row>154</xdr:row>
      <xdr:rowOff>0</xdr:rowOff>
    </xdr:from>
    <xdr:ext cx="2438400" cy="1666875"/>
    <xdr:pic>
      <xdr:nvPicPr>
        <xdr:cNvPr id="49" name="image34.png">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0</xdr:colOff>
      <xdr:row>155</xdr:row>
      <xdr:rowOff>0</xdr:rowOff>
    </xdr:from>
    <xdr:ext cx="1133475" cy="1571625"/>
    <xdr:pic>
      <xdr:nvPicPr>
        <xdr:cNvPr id="50" name="image37.png">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0</xdr:colOff>
      <xdr:row>156</xdr:row>
      <xdr:rowOff>0</xdr:rowOff>
    </xdr:from>
    <xdr:ext cx="1457325" cy="1666875"/>
    <xdr:pic>
      <xdr:nvPicPr>
        <xdr:cNvPr id="51" name="image51.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2</xdr:col>
      <xdr:colOff>1028700</xdr:colOff>
      <xdr:row>56</xdr:row>
      <xdr:rowOff>95250</xdr:rowOff>
    </xdr:from>
    <xdr:ext cx="419100" cy="228600"/>
    <xdr:sp macro="" textlink="">
      <xdr:nvSpPr>
        <xdr:cNvPr id="3" name="Shape 3">
          <a:extLst>
            <a:ext uri="{FF2B5EF4-FFF2-40B4-BE49-F238E27FC236}">
              <a16:creationId xmlns:a16="http://schemas.microsoft.com/office/drawing/2014/main" id="{00000000-0008-0000-0200-000003000000}"/>
            </a:ext>
          </a:extLst>
        </xdr:cNvPr>
        <xdr:cNvSpPr/>
      </xdr:nvSpPr>
      <xdr:spPr>
        <a:xfrm rot="10800000">
          <a:off x="5141213" y="3670463"/>
          <a:ext cx="409575" cy="219075"/>
        </a:xfrm>
        <a:prstGeom prst="curvedUpArrow">
          <a:avLst>
            <a:gd name="adj1" fmla="val 25000"/>
            <a:gd name="adj2" fmla="val 50000"/>
            <a:gd name="adj3" fmla="val 25000"/>
          </a:avLst>
        </a:prstGeom>
        <a:solidFill>
          <a:srgbClr val="FF0000"/>
        </a:solidFill>
        <a:ln w="12700" cap="flat" cmpd="sng">
          <a:solidFill>
            <a:srgbClr val="41719C"/>
          </a:solidFill>
          <a:prstDash val="solid"/>
          <a:miter lim="800000"/>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2</xdr:col>
      <xdr:colOff>476250</xdr:colOff>
      <xdr:row>104</xdr:row>
      <xdr:rowOff>19050</xdr:rowOff>
    </xdr:from>
    <xdr:ext cx="1038225" cy="1514475"/>
    <xdr:grpSp>
      <xdr:nvGrpSpPr>
        <xdr:cNvPr id="2" name="Shape 2">
          <a:extLst>
            <a:ext uri="{FF2B5EF4-FFF2-40B4-BE49-F238E27FC236}">
              <a16:creationId xmlns:a16="http://schemas.microsoft.com/office/drawing/2014/main" id="{00000000-0008-0000-0200-000002000000}"/>
            </a:ext>
          </a:extLst>
        </xdr:cNvPr>
        <xdr:cNvGrpSpPr/>
      </xdr:nvGrpSpPr>
      <xdr:grpSpPr>
        <a:xfrm>
          <a:off x="5057775" y="43662600"/>
          <a:ext cx="1038225" cy="1514475"/>
          <a:chOff x="4826888" y="3022763"/>
          <a:chExt cx="1038225" cy="1514475"/>
        </a:xfrm>
      </xdr:grpSpPr>
      <xdr:grpSp>
        <xdr:nvGrpSpPr>
          <xdr:cNvPr id="4" name="Shape 4">
            <a:extLst>
              <a:ext uri="{FF2B5EF4-FFF2-40B4-BE49-F238E27FC236}">
                <a16:creationId xmlns:a16="http://schemas.microsoft.com/office/drawing/2014/main" id="{00000000-0008-0000-0200-000004000000}"/>
              </a:ext>
            </a:extLst>
          </xdr:cNvPr>
          <xdr:cNvGrpSpPr/>
        </xdr:nvGrpSpPr>
        <xdr:grpSpPr>
          <a:xfrm>
            <a:off x="4826888" y="3022763"/>
            <a:ext cx="1038225" cy="1514475"/>
            <a:chOff x="4826888" y="3022763"/>
            <a:chExt cx="1038225" cy="1514475"/>
          </a:xfrm>
        </xdr:grpSpPr>
        <xdr:sp macro="" textlink="">
          <xdr:nvSpPr>
            <xdr:cNvPr id="5" name="Shape 5">
              <a:extLst>
                <a:ext uri="{FF2B5EF4-FFF2-40B4-BE49-F238E27FC236}">
                  <a16:creationId xmlns:a16="http://schemas.microsoft.com/office/drawing/2014/main" id="{00000000-0008-0000-0200-000005000000}"/>
                </a:ext>
              </a:extLst>
            </xdr:cNvPr>
            <xdr:cNvSpPr/>
          </xdr:nvSpPr>
          <xdr:spPr>
            <a:xfrm>
              <a:off x="4826888" y="3022763"/>
              <a:ext cx="1038225" cy="15144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6" name="Shape 6">
              <a:extLst>
                <a:ext uri="{FF2B5EF4-FFF2-40B4-BE49-F238E27FC236}">
                  <a16:creationId xmlns:a16="http://schemas.microsoft.com/office/drawing/2014/main" id="{00000000-0008-0000-0200-000006000000}"/>
                </a:ext>
              </a:extLst>
            </xdr:cNvPr>
            <xdr:cNvGrpSpPr/>
          </xdr:nvGrpSpPr>
          <xdr:grpSpPr>
            <a:xfrm>
              <a:off x="4826888" y="3022763"/>
              <a:ext cx="1038225" cy="1514475"/>
              <a:chOff x="4826888" y="3022763"/>
              <a:chExt cx="1038226" cy="1514475"/>
            </a:xfrm>
          </xdr:grpSpPr>
          <xdr:sp macro="" textlink="">
            <xdr:nvSpPr>
              <xdr:cNvPr id="7" name="Shape 7">
                <a:extLst>
                  <a:ext uri="{FF2B5EF4-FFF2-40B4-BE49-F238E27FC236}">
                    <a16:creationId xmlns:a16="http://schemas.microsoft.com/office/drawing/2014/main" id="{00000000-0008-0000-0200-000007000000}"/>
                  </a:ext>
                </a:extLst>
              </xdr:cNvPr>
              <xdr:cNvSpPr/>
            </xdr:nvSpPr>
            <xdr:spPr>
              <a:xfrm>
                <a:off x="4826888" y="3022763"/>
                <a:ext cx="1038225" cy="15144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8" name="Shape 8">
                <a:extLst>
                  <a:ext uri="{FF2B5EF4-FFF2-40B4-BE49-F238E27FC236}">
                    <a16:creationId xmlns:a16="http://schemas.microsoft.com/office/drawing/2014/main" id="{00000000-0008-0000-0200-000008000000}"/>
                  </a:ext>
                </a:extLst>
              </xdr:cNvPr>
              <xdr:cNvGrpSpPr/>
            </xdr:nvGrpSpPr>
            <xdr:grpSpPr>
              <a:xfrm>
                <a:off x="4826888" y="3022763"/>
                <a:ext cx="1038226" cy="1514475"/>
                <a:chOff x="4826888" y="3022763"/>
                <a:chExt cx="1038227" cy="1514475"/>
              </a:xfrm>
            </xdr:grpSpPr>
            <xdr:sp macro="" textlink="">
              <xdr:nvSpPr>
                <xdr:cNvPr id="9" name="Shape 9">
                  <a:extLst>
                    <a:ext uri="{FF2B5EF4-FFF2-40B4-BE49-F238E27FC236}">
                      <a16:creationId xmlns:a16="http://schemas.microsoft.com/office/drawing/2014/main" id="{00000000-0008-0000-0200-000009000000}"/>
                    </a:ext>
                  </a:extLst>
                </xdr:cNvPr>
                <xdr:cNvSpPr/>
              </xdr:nvSpPr>
              <xdr:spPr>
                <a:xfrm>
                  <a:off x="4826888" y="3022763"/>
                  <a:ext cx="1038225" cy="15144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10" name="Shape 10" title="Dibujo">
                  <a:extLst>
                    <a:ext uri="{FF2B5EF4-FFF2-40B4-BE49-F238E27FC236}">
                      <a16:creationId xmlns:a16="http://schemas.microsoft.com/office/drawing/2014/main" id="{00000000-0008-0000-0200-00000A000000}"/>
                    </a:ext>
                  </a:extLst>
                </xdr:cNvPr>
                <xdr:cNvGrpSpPr/>
              </xdr:nvGrpSpPr>
              <xdr:grpSpPr>
                <a:xfrm>
                  <a:off x="4826888" y="3022763"/>
                  <a:ext cx="1038227" cy="1514475"/>
                  <a:chOff x="4678172" y="2794163"/>
                  <a:chExt cx="1333502" cy="1971675"/>
                </a:xfrm>
              </xdr:grpSpPr>
              <xdr:sp macro="" textlink="">
                <xdr:nvSpPr>
                  <xdr:cNvPr id="11" name="Shape 11">
                    <a:extLst>
                      <a:ext uri="{FF2B5EF4-FFF2-40B4-BE49-F238E27FC236}">
                        <a16:creationId xmlns:a16="http://schemas.microsoft.com/office/drawing/2014/main" id="{00000000-0008-0000-0200-00000B000000}"/>
                      </a:ext>
                    </a:extLst>
                  </xdr:cNvPr>
                  <xdr:cNvSpPr/>
                </xdr:nvSpPr>
                <xdr:spPr>
                  <a:xfrm>
                    <a:off x="4678172" y="2794163"/>
                    <a:ext cx="1333500" cy="19716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12" name="Shape 12">
                    <a:extLst>
                      <a:ext uri="{FF2B5EF4-FFF2-40B4-BE49-F238E27FC236}">
                        <a16:creationId xmlns:a16="http://schemas.microsoft.com/office/drawing/2014/main" id="{00000000-0008-0000-0200-00000C000000}"/>
                      </a:ext>
                    </a:extLst>
                  </xdr:cNvPr>
                  <xdr:cNvGrpSpPr/>
                </xdr:nvGrpSpPr>
                <xdr:grpSpPr>
                  <a:xfrm>
                    <a:off x="4678173" y="2794163"/>
                    <a:ext cx="1333500" cy="1971675"/>
                    <a:chOff x="8829" y="8155"/>
                    <a:chExt cx="1236" cy="2770"/>
                  </a:xfrm>
                </xdr:grpSpPr>
                <xdr:sp macro="" textlink="">
                  <xdr:nvSpPr>
                    <xdr:cNvPr id="13" name="Shape 13">
                      <a:extLst>
                        <a:ext uri="{FF2B5EF4-FFF2-40B4-BE49-F238E27FC236}">
                          <a16:creationId xmlns:a16="http://schemas.microsoft.com/office/drawing/2014/main" id="{00000000-0008-0000-0200-00000D000000}"/>
                        </a:ext>
                      </a:extLst>
                    </xdr:cNvPr>
                    <xdr:cNvSpPr/>
                  </xdr:nvSpPr>
                  <xdr:spPr>
                    <a:xfrm>
                      <a:off x="8830" y="8155"/>
                      <a:ext cx="1225" cy="27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14" name="Shape 14">
                      <a:extLst>
                        <a:ext uri="{FF2B5EF4-FFF2-40B4-BE49-F238E27FC236}">
                          <a16:creationId xmlns:a16="http://schemas.microsoft.com/office/drawing/2014/main" id="{00000000-0008-0000-0200-00000E000000}"/>
                        </a:ext>
                      </a:extLst>
                    </xdr:cNvPr>
                    <xdr:cNvPicPr preferRelativeResize="0"/>
                  </xdr:nvPicPr>
                  <xdr:blipFill rotWithShape="1">
                    <a:blip xmlns:r="http://schemas.openxmlformats.org/officeDocument/2006/relationships" r:embed="rId1">
                      <a:alphaModFix/>
                    </a:blip>
                    <a:srcRect/>
                    <a:stretch/>
                  </xdr:blipFill>
                  <xdr:spPr>
                    <a:xfrm>
                      <a:off x="8887" y="8155"/>
                      <a:ext cx="1121" cy="1512"/>
                    </a:xfrm>
                    <a:prstGeom prst="rect">
                      <a:avLst/>
                    </a:prstGeom>
                    <a:noFill/>
                    <a:ln>
                      <a:noFill/>
                    </a:ln>
                  </xdr:spPr>
                </xdr:pic>
                <xdr:pic>
                  <xdr:nvPicPr>
                    <xdr:cNvPr id="15" name="Shape 15">
                      <a:extLst>
                        <a:ext uri="{FF2B5EF4-FFF2-40B4-BE49-F238E27FC236}">
                          <a16:creationId xmlns:a16="http://schemas.microsoft.com/office/drawing/2014/main" id="{00000000-0008-0000-0200-00000F000000}"/>
                        </a:ext>
                      </a:extLst>
                    </xdr:cNvPr>
                    <xdr:cNvPicPr preferRelativeResize="0"/>
                  </xdr:nvPicPr>
                  <xdr:blipFill rotWithShape="1">
                    <a:blip xmlns:r="http://schemas.openxmlformats.org/officeDocument/2006/relationships" r:embed="rId2">
                      <a:alphaModFix/>
                    </a:blip>
                    <a:srcRect/>
                    <a:stretch/>
                  </xdr:blipFill>
                  <xdr:spPr>
                    <a:xfrm>
                      <a:off x="8829" y="9674"/>
                      <a:ext cx="1236" cy="1251"/>
                    </a:xfrm>
                    <a:prstGeom prst="rect">
                      <a:avLst/>
                    </a:prstGeom>
                    <a:noFill/>
                    <a:ln>
                      <a:noFill/>
                    </a:ln>
                  </xdr:spPr>
                </xdr:pic>
              </xdr:grpSp>
            </xdr:grpSp>
          </xdr:grpSp>
        </xdr:grpSp>
      </xdr:grpSp>
    </xdr:grpSp>
    <xdr:clientData fLocksWithSheet="0"/>
  </xdr:oneCellAnchor>
  <xdr:oneCellAnchor>
    <xdr:from>
      <xdr:col>2</xdr:col>
      <xdr:colOff>1514475</xdr:colOff>
      <xdr:row>205</xdr:row>
      <xdr:rowOff>1219200</xdr:rowOff>
    </xdr:from>
    <xdr:ext cx="981075" cy="1419225"/>
    <xdr:grpSp>
      <xdr:nvGrpSpPr>
        <xdr:cNvPr id="16" name="Shape 2">
          <a:extLst>
            <a:ext uri="{FF2B5EF4-FFF2-40B4-BE49-F238E27FC236}">
              <a16:creationId xmlns:a16="http://schemas.microsoft.com/office/drawing/2014/main" id="{00000000-0008-0000-0200-000010000000}"/>
            </a:ext>
          </a:extLst>
        </xdr:cNvPr>
        <xdr:cNvGrpSpPr/>
      </xdr:nvGrpSpPr>
      <xdr:grpSpPr>
        <a:xfrm>
          <a:off x="6096000" y="88620600"/>
          <a:ext cx="981075" cy="1419225"/>
          <a:chOff x="4855463" y="3070388"/>
          <a:chExt cx="981075" cy="1419225"/>
        </a:xfrm>
      </xdr:grpSpPr>
      <xdr:grpSp>
        <xdr:nvGrpSpPr>
          <xdr:cNvPr id="17" name="Shape 16">
            <a:extLst>
              <a:ext uri="{FF2B5EF4-FFF2-40B4-BE49-F238E27FC236}">
                <a16:creationId xmlns:a16="http://schemas.microsoft.com/office/drawing/2014/main" id="{00000000-0008-0000-0200-000011000000}"/>
              </a:ext>
            </a:extLst>
          </xdr:cNvPr>
          <xdr:cNvGrpSpPr/>
        </xdr:nvGrpSpPr>
        <xdr:grpSpPr>
          <a:xfrm>
            <a:off x="4855463" y="3070388"/>
            <a:ext cx="981075" cy="1419225"/>
            <a:chOff x="4855463" y="3070388"/>
            <a:chExt cx="981075" cy="1419225"/>
          </a:xfrm>
        </xdr:grpSpPr>
        <xdr:sp macro="" textlink="">
          <xdr:nvSpPr>
            <xdr:cNvPr id="18" name="Shape 5">
              <a:extLst>
                <a:ext uri="{FF2B5EF4-FFF2-40B4-BE49-F238E27FC236}">
                  <a16:creationId xmlns:a16="http://schemas.microsoft.com/office/drawing/2014/main" id="{00000000-0008-0000-0200-000012000000}"/>
                </a:ext>
              </a:extLst>
            </xdr:cNvPr>
            <xdr:cNvSpPr/>
          </xdr:nvSpPr>
          <xdr:spPr>
            <a:xfrm>
              <a:off x="4855463" y="3070388"/>
              <a:ext cx="981075" cy="14192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19" name="Shape 17">
              <a:extLst>
                <a:ext uri="{FF2B5EF4-FFF2-40B4-BE49-F238E27FC236}">
                  <a16:creationId xmlns:a16="http://schemas.microsoft.com/office/drawing/2014/main" id="{00000000-0008-0000-0200-000013000000}"/>
                </a:ext>
              </a:extLst>
            </xdr:cNvPr>
            <xdr:cNvGrpSpPr/>
          </xdr:nvGrpSpPr>
          <xdr:grpSpPr>
            <a:xfrm>
              <a:off x="4855463" y="3070388"/>
              <a:ext cx="981075" cy="1419225"/>
              <a:chOff x="4855463" y="3070388"/>
              <a:chExt cx="981075" cy="1419225"/>
            </a:xfrm>
          </xdr:grpSpPr>
          <xdr:sp macro="" textlink="">
            <xdr:nvSpPr>
              <xdr:cNvPr id="20" name="Shape 18">
                <a:extLst>
                  <a:ext uri="{FF2B5EF4-FFF2-40B4-BE49-F238E27FC236}">
                    <a16:creationId xmlns:a16="http://schemas.microsoft.com/office/drawing/2014/main" id="{00000000-0008-0000-0200-000014000000}"/>
                  </a:ext>
                </a:extLst>
              </xdr:cNvPr>
              <xdr:cNvSpPr/>
            </xdr:nvSpPr>
            <xdr:spPr>
              <a:xfrm>
                <a:off x="4855463" y="3070388"/>
                <a:ext cx="981075" cy="14192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21" name="Shape 19">
                <a:extLst>
                  <a:ext uri="{FF2B5EF4-FFF2-40B4-BE49-F238E27FC236}">
                    <a16:creationId xmlns:a16="http://schemas.microsoft.com/office/drawing/2014/main" id="{00000000-0008-0000-0200-000015000000}"/>
                  </a:ext>
                </a:extLst>
              </xdr:cNvPr>
              <xdr:cNvGrpSpPr/>
            </xdr:nvGrpSpPr>
            <xdr:grpSpPr>
              <a:xfrm>
                <a:off x="4855463" y="3070388"/>
                <a:ext cx="981075" cy="1419225"/>
                <a:chOff x="4855463" y="3070388"/>
                <a:chExt cx="981075" cy="1419225"/>
              </a:xfrm>
            </xdr:grpSpPr>
            <xdr:sp macro="" textlink="">
              <xdr:nvSpPr>
                <xdr:cNvPr id="22" name="Shape 20">
                  <a:extLst>
                    <a:ext uri="{FF2B5EF4-FFF2-40B4-BE49-F238E27FC236}">
                      <a16:creationId xmlns:a16="http://schemas.microsoft.com/office/drawing/2014/main" id="{00000000-0008-0000-0200-000016000000}"/>
                    </a:ext>
                  </a:extLst>
                </xdr:cNvPr>
                <xdr:cNvSpPr/>
              </xdr:nvSpPr>
              <xdr:spPr>
                <a:xfrm>
                  <a:off x="4855463" y="3070388"/>
                  <a:ext cx="981075" cy="14192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23" name="Shape 21" title="Dibujo">
                  <a:extLst>
                    <a:ext uri="{FF2B5EF4-FFF2-40B4-BE49-F238E27FC236}">
                      <a16:creationId xmlns:a16="http://schemas.microsoft.com/office/drawing/2014/main" id="{00000000-0008-0000-0200-000017000000}"/>
                    </a:ext>
                  </a:extLst>
                </xdr:cNvPr>
                <xdr:cNvGrpSpPr/>
              </xdr:nvGrpSpPr>
              <xdr:grpSpPr>
                <a:xfrm>
                  <a:off x="4855463" y="3070388"/>
                  <a:ext cx="981075" cy="1419225"/>
                  <a:chOff x="4984050" y="2375063"/>
                  <a:chExt cx="723900" cy="2809875"/>
                </a:xfrm>
              </xdr:grpSpPr>
              <xdr:sp macro="" textlink="">
                <xdr:nvSpPr>
                  <xdr:cNvPr id="24" name="Shape 22">
                    <a:extLst>
                      <a:ext uri="{FF2B5EF4-FFF2-40B4-BE49-F238E27FC236}">
                        <a16:creationId xmlns:a16="http://schemas.microsoft.com/office/drawing/2014/main" id="{00000000-0008-0000-0200-000018000000}"/>
                      </a:ext>
                    </a:extLst>
                  </xdr:cNvPr>
                  <xdr:cNvSpPr/>
                </xdr:nvSpPr>
                <xdr:spPr>
                  <a:xfrm>
                    <a:off x="4984050" y="2375063"/>
                    <a:ext cx="723900" cy="28098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25" name="Shape 23">
                    <a:extLst>
                      <a:ext uri="{FF2B5EF4-FFF2-40B4-BE49-F238E27FC236}">
                        <a16:creationId xmlns:a16="http://schemas.microsoft.com/office/drawing/2014/main" id="{00000000-0008-0000-0200-000019000000}"/>
                      </a:ext>
                    </a:extLst>
                  </xdr:cNvPr>
                  <xdr:cNvGrpSpPr/>
                </xdr:nvGrpSpPr>
                <xdr:grpSpPr>
                  <a:xfrm>
                    <a:off x="4984050" y="2375063"/>
                    <a:ext cx="723900" cy="2809875"/>
                    <a:chOff x="0" y="0"/>
                    <a:chExt cx="1462" cy="2472"/>
                  </a:xfrm>
                </xdr:grpSpPr>
                <xdr:sp macro="" textlink="">
                  <xdr:nvSpPr>
                    <xdr:cNvPr id="26" name="Shape 24">
                      <a:extLst>
                        <a:ext uri="{FF2B5EF4-FFF2-40B4-BE49-F238E27FC236}">
                          <a16:creationId xmlns:a16="http://schemas.microsoft.com/office/drawing/2014/main" id="{00000000-0008-0000-0200-00001A000000}"/>
                        </a:ext>
                      </a:extLst>
                    </xdr:cNvPr>
                    <xdr:cNvSpPr/>
                  </xdr:nvSpPr>
                  <xdr:spPr>
                    <a:xfrm>
                      <a:off x="0" y="0"/>
                      <a:ext cx="1450" cy="2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27" name="Shape 25">
                      <a:extLst>
                        <a:ext uri="{FF2B5EF4-FFF2-40B4-BE49-F238E27FC236}">
                          <a16:creationId xmlns:a16="http://schemas.microsoft.com/office/drawing/2014/main" id="{00000000-0008-0000-0200-00001B000000}"/>
                        </a:ext>
                      </a:extLst>
                    </xdr:cNvPr>
                    <xdr:cNvPicPr preferRelativeResize="0"/>
                  </xdr:nvPicPr>
                  <xdr:blipFill rotWithShape="1">
                    <a:blip xmlns:r="http://schemas.openxmlformats.org/officeDocument/2006/relationships" r:embed="rId3">
                      <a:alphaModFix/>
                    </a:blip>
                    <a:srcRect/>
                    <a:stretch/>
                  </xdr:blipFill>
                  <xdr:spPr>
                    <a:xfrm>
                      <a:off x="0" y="0"/>
                      <a:ext cx="1462" cy="1215"/>
                    </a:xfrm>
                    <a:prstGeom prst="rect">
                      <a:avLst/>
                    </a:prstGeom>
                    <a:noFill/>
                    <a:ln>
                      <a:noFill/>
                    </a:ln>
                  </xdr:spPr>
                </xdr:pic>
                <xdr:pic>
                  <xdr:nvPicPr>
                    <xdr:cNvPr id="28" name="Shape 26">
                      <a:extLst>
                        <a:ext uri="{FF2B5EF4-FFF2-40B4-BE49-F238E27FC236}">
                          <a16:creationId xmlns:a16="http://schemas.microsoft.com/office/drawing/2014/main" id="{00000000-0008-0000-0200-00001C000000}"/>
                        </a:ext>
                      </a:extLst>
                    </xdr:cNvPr>
                    <xdr:cNvPicPr preferRelativeResize="0"/>
                  </xdr:nvPicPr>
                  <xdr:blipFill rotWithShape="1">
                    <a:blip xmlns:r="http://schemas.openxmlformats.org/officeDocument/2006/relationships" r:embed="rId4">
                      <a:alphaModFix/>
                    </a:blip>
                    <a:srcRect/>
                    <a:stretch/>
                  </xdr:blipFill>
                  <xdr:spPr>
                    <a:xfrm>
                      <a:off x="108" y="1257"/>
                      <a:ext cx="1248" cy="1215"/>
                    </a:xfrm>
                    <a:prstGeom prst="rect">
                      <a:avLst/>
                    </a:prstGeom>
                    <a:noFill/>
                    <a:ln>
                      <a:noFill/>
                    </a:ln>
                  </xdr:spPr>
                </xdr:pic>
                <xdr:pic>
                  <xdr:nvPicPr>
                    <xdr:cNvPr id="29" name="Shape 27">
                      <a:extLst>
                        <a:ext uri="{FF2B5EF4-FFF2-40B4-BE49-F238E27FC236}">
                          <a16:creationId xmlns:a16="http://schemas.microsoft.com/office/drawing/2014/main" id="{00000000-0008-0000-0200-00001D000000}"/>
                        </a:ext>
                      </a:extLst>
                    </xdr:cNvPr>
                    <xdr:cNvPicPr preferRelativeResize="0"/>
                  </xdr:nvPicPr>
                  <xdr:blipFill rotWithShape="1">
                    <a:blip xmlns:r="http://schemas.openxmlformats.org/officeDocument/2006/relationships" r:embed="rId3">
                      <a:alphaModFix/>
                    </a:blip>
                    <a:srcRect/>
                    <a:stretch/>
                  </xdr:blipFill>
                  <xdr:spPr>
                    <a:xfrm>
                      <a:off x="0" y="0"/>
                      <a:ext cx="1462" cy="1215"/>
                    </a:xfrm>
                    <a:prstGeom prst="rect">
                      <a:avLst/>
                    </a:prstGeom>
                    <a:noFill/>
                    <a:ln>
                      <a:noFill/>
                    </a:ln>
                  </xdr:spPr>
                </xdr:pic>
                <xdr:pic>
                  <xdr:nvPicPr>
                    <xdr:cNvPr id="30" name="Shape 28">
                      <a:extLst>
                        <a:ext uri="{FF2B5EF4-FFF2-40B4-BE49-F238E27FC236}">
                          <a16:creationId xmlns:a16="http://schemas.microsoft.com/office/drawing/2014/main" id="{00000000-0008-0000-0200-00001E000000}"/>
                        </a:ext>
                      </a:extLst>
                    </xdr:cNvPr>
                    <xdr:cNvPicPr preferRelativeResize="0"/>
                  </xdr:nvPicPr>
                  <xdr:blipFill rotWithShape="1">
                    <a:blip xmlns:r="http://schemas.openxmlformats.org/officeDocument/2006/relationships" r:embed="rId4">
                      <a:alphaModFix/>
                    </a:blip>
                    <a:srcRect/>
                    <a:stretch/>
                  </xdr:blipFill>
                  <xdr:spPr>
                    <a:xfrm>
                      <a:off x="108" y="1257"/>
                      <a:ext cx="1248" cy="1215"/>
                    </a:xfrm>
                    <a:prstGeom prst="rect">
                      <a:avLst/>
                    </a:prstGeom>
                    <a:noFill/>
                    <a:ln>
                      <a:noFill/>
                    </a:ln>
                  </xdr:spPr>
                </xdr:pic>
              </xdr:grpSp>
            </xdr:grpSp>
          </xdr:grpSp>
        </xdr:grpSp>
      </xdr:grpSp>
    </xdr:grpSp>
    <xdr:clientData fLocksWithSheet="0"/>
  </xdr:oneCellAnchor>
  <xdr:oneCellAnchor>
    <xdr:from>
      <xdr:col>2</xdr:col>
      <xdr:colOff>361950</xdr:colOff>
      <xdr:row>3</xdr:row>
      <xdr:rowOff>28575</xdr:rowOff>
    </xdr:from>
    <xdr:ext cx="1123950" cy="742950"/>
    <xdr:pic>
      <xdr:nvPicPr>
        <xdr:cNvPr id="31" name="image48.jpg" title="Imagen">
          <a:extLst>
            <a:ext uri="{FF2B5EF4-FFF2-40B4-BE49-F238E27FC236}">
              <a16:creationId xmlns:a16="http://schemas.microsoft.com/office/drawing/2014/main" id="{00000000-0008-0000-0200-00001F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38100</xdr:colOff>
      <xdr:row>8</xdr:row>
      <xdr:rowOff>38100</xdr:rowOff>
    </xdr:from>
    <xdr:ext cx="561975" cy="838200"/>
    <xdr:pic>
      <xdr:nvPicPr>
        <xdr:cNvPr id="32" name="image47.jpg">
          <a:extLst>
            <a:ext uri="{FF2B5EF4-FFF2-40B4-BE49-F238E27FC236}">
              <a16:creationId xmlns:a16="http://schemas.microsoft.com/office/drawing/2014/main" id="{00000000-0008-0000-0200-000020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638175</xdr:colOff>
      <xdr:row>8</xdr:row>
      <xdr:rowOff>152400</xdr:rowOff>
    </xdr:from>
    <xdr:ext cx="1447800" cy="733425"/>
    <xdr:pic>
      <xdr:nvPicPr>
        <xdr:cNvPr id="33" name="image41.jpg">
          <a:extLst>
            <a:ext uri="{FF2B5EF4-FFF2-40B4-BE49-F238E27FC236}">
              <a16:creationId xmlns:a16="http://schemas.microsoft.com/office/drawing/2014/main" id="{00000000-0008-0000-0200-000021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419100</xdr:colOff>
      <xdr:row>11</xdr:row>
      <xdr:rowOff>28575</xdr:rowOff>
    </xdr:from>
    <xdr:ext cx="1038225" cy="1047750"/>
    <xdr:pic>
      <xdr:nvPicPr>
        <xdr:cNvPr id="34" name="image59.png" title="Imagen">
          <a:extLst>
            <a:ext uri="{FF2B5EF4-FFF2-40B4-BE49-F238E27FC236}">
              <a16:creationId xmlns:a16="http://schemas.microsoft.com/office/drawing/2014/main" id="{00000000-0008-0000-0200-000022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228600</xdr:colOff>
      <xdr:row>25</xdr:row>
      <xdr:rowOff>85725</xdr:rowOff>
    </xdr:from>
    <xdr:ext cx="1543050" cy="1019175"/>
    <xdr:pic>
      <xdr:nvPicPr>
        <xdr:cNvPr id="35" name="image50.png">
          <a:extLst>
            <a:ext uri="{FF2B5EF4-FFF2-40B4-BE49-F238E27FC236}">
              <a16:creationId xmlns:a16="http://schemas.microsoft.com/office/drawing/2014/main" id="{00000000-0008-0000-0200-000023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561975</xdr:colOff>
      <xdr:row>24</xdr:row>
      <xdr:rowOff>171450</xdr:rowOff>
    </xdr:from>
    <xdr:ext cx="657225" cy="790575"/>
    <xdr:pic>
      <xdr:nvPicPr>
        <xdr:cNvPr id="36" name="image40.jpg" title="Imagen">
          <a:extLst>
            <a:ext uri="{FF2B5EF4-FFF2-40B4-BE49-F238E27FC236}">
              <a16:creationId xmlns:a16="http://schemas.microsoft.com/office/drawing/2014/main" id="{00000000-0008-0000-0200-000024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57150</xdr:colOff>
      <xdr:row>50</xdr:row>
      <xdr:rowOff>66675</xdr:rowOff>
    </xdr:from>
    <xdr:ext cx="1609725" cy="1181100"/>
    <xdr:pic>
      <xdr:nvPicPr>
        <xdr:cNvPr id="37" name="image57.jpg" title="Imagen">
          <a:extLst>
            <a:ext uri="{FF2B5EF4-FFF2-40B4-BE49-F238E27FC236}">
              <a16:creationId xmlns:a16="http://schemas.microsoft.com/office/drawing/2014/main" id="{00000000-0008-0000-0200-000025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133350</xdr:colOff>
      <xdr:row>53</xdr:row>
      <xdr:rowOff>57150</xdr:rowOff>
    </xdr:from>
    <xdr:ext cx="1466850" cy="1123950"/>
    <xdr:pic>
      <xdr:nvPicPr>
        <xdr:cNvPr id="38" name="image45.jpg" title="Imagen">
          <a:extLst>
            <a:ext uri="{FF2B5EF4-FFF2-40B4-BE49-F238E27FC236}">
              <a16:creationId xmlns:a16="http://schemas.microsoft.com/office/drawing/2014/main" id="{00000000-0008-0000-0200-000026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142875</xdr:colOff>
      <xdr:row>56</xdr:row>
      <xdr:rowOff>85725</xdr:rowOff>
    </xdr:from>
    <xdr:ext cx="1447800" cy="952500"/>
    <xdr:pic>
      <xdr:nvPicPr>
        <xdr:cNvPr id="39" name="image45.jpg" title="Imagen">
          <a:extLst>
            <a:ext uri="{FF2B5EF4-FFF2-40B4-BE49-F238E27FC236}">
              <a16:creationId xmlns:a16="http://schemas.microsoft.com/office/drawing/2014/main" id="{00000000-0008-0000-0200-000027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1200150</xdr:colOff>
      <xdr:row>67</xdr:row>
      <xdr:rowOff>28575</xdr:rowOff>
    </xdr:from>
    <xdr:ext cx="523875" cy="666750"/>
    <xdr:pic>
      <xdr:nvPicPr>
        <xdr:cNvPr id="40" name="image55.png" title="Imagen">
          <a:extLst>
            <a:ext uri="{FF2B5EF4-FFF2-40B4-BE49-F238E27FC236}">
              <a16:creationId xmlns:a16="http://schemas.microsoft.com/office/drawing/2014/main" id="{00000000-0008-0000-0200-000028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1257300</xdr:colOff>
      <xdr:row>67</xdr:row>
      <xdr:rowOff>895350</xdr:rowOff>
    </xdr:from>
    <xdr:ext cx="809625" cy="952500"/>
    <xdr:pic>
      <xdr:nvPicPr>
        <xdr:cNvPr id="41" name="image60.png" title="Imagen">
          <a:extLst>
            <a:ext uri="{FF2B5EF4-FFF2-40B4-BE49-F238E27FC236}">
              <a16:creationId xmlns:a16="http://schemas.microsoft.com/office/drawing/2014/main" id="{00000000-0008-0000-0200-000029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114300</xdr:colOff>
      <xdr:row>67</xdr:row>
      <xdr:rowOff>895350</xdr:rowOff>
    </xdr:from>
    <xdr:ext cx="428625" cy="666750"/>
    <xdr:pic>
      <xdr:nvPicPr>
        <xdr:cNvPr id="42" name="image61.png" title="Imagen">
          <a:extLst>
            <a:ext uri="{FF2B5EF4-FFF2-40B4-BE49-F238E27FC236}">
              <a16:creationId xmlns:a16="http://schemas.microsoft.com/office/drawing/2014/main" id="{00000000-0008-0000-0200-00002A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666750</xdr:colOff>
      <xdr:row>67</xdr:row>
      <xdr:rowOff>895350</xdr:rowOff>
    </xdr:from>
    <xdr:ext cx="581025" cy="885825"/>
    <xdr:pic>
      <xdr:nvPicPr>
        <xdr:cNvPr id="43" name="image74.png" title="Imagen">
          <a:extLst>
            <a:ext uri="{FF2B5EF4-FFF2-40B4-BE49-F238E27FC236}">
              <a16:creationId xmlns:a16="http://schemas.microsoft.com/office/drawing/2014/main" id="{00000000-0008-0000-0200-00002B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447675</xdr:colOff>
      <xdr:row>80</xdr:row>
      <xdr:rowOff>104775</xdr:rowOff>
    </xdr:from>
    <xdr:ext cx="923925" cy="1181100"/>
    <xdr:pic>
      <xdr:nvPicPr>
        <xdr:cNvPr id="44" name="image71.png" title="Imagen">
          <a:extLst>
            <a:ext uri="{FF2B5EF4-FFF2-40B4-BE49-F238E27FC236}">
              <a16:creationId xmlns:a16="http://schemas.microsoft.com/office/drawing/2014/main" id="{00000000-0008-0000-0200-00002C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323850</xdr:colOff>
      <xdr:row>83</xdr:row>
      <xdr:rowOff>66675</xdr:rowOff>
    </xdr:from>
    <xdr:ext cx="981075" cy="1209675"/>
    <xdr:pic>
      <xdr:nvPicPr>
        <xdr:cNvPr id="45" name="image58.jpg" title="Imagen">
          <a:extLst>
            <a:ext uri="{FF2B5EF4-FFF2-40B4-BE49-F238E27FC236}">
              <a16:creationId xmlns:a16="http://schemas.microsoft.com/office/drawing/2014/main" id="{00000000-0008-0000-0200-00002D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590550</xdr:colOff>
      <xdr:row>93</xdr:row>
      <xdr:rowOff>28575</xdr:rowOff>
    </xdr:from>
    <xdr:ext cx="2152650" cy="1009650"/>
    <xdr:pic>
      <xdr:nvPicPr>
        <xdr:cNvPr id="46" name="image64.png" title="Imagen">
          <a:extLst>
            <a:ext uri="{FF2B5EF4-FFF2-40B4-BE49-F238E27FC236}">
              <a16:creationId xmlns:a16="http://schemas.microsoft.com/office/drawing/2014/main" id="{00000000-0008-0000-0200-00002E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85725</xdr:colOff>
      <xdr:row>96</xdr:row>
      <xdr:rowOff>85725</xdr:rowOff>
    </xdr:from>
    <xdr:ext cx="1609725" cy="952500"/>
    <xdr:pic>
      <xdr:nvPicPr>
        <xdr:cNvPr id="47" name="image76.jpg" title="Imagen">
          <a:extLst>
            <a:ext uri="{FF2B5EF4-FFF2-40B4-BE49-F238E27FC236}">
              <a16:creationId xmlns:a16="http://schemas.microsoft.com/office/drawing/2014/main" id="{00000000-0008-0000-0200-00002F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219075</xdr:colOff>
      <xdr:row>119</xdr:row>
      <xdr:rowOff>28575</xdr:rowOff>
    </xdr:from>
    <xdr:ext cx="1504950" cy="981075"/>
    <xdr:pic>
      <xdr:nvPicPr>
        <xdr:cNvPr id="48" name="image56.jpg" title="Imagen">
          <a:extLst>
            <a:ext uri="{FF2B5EF4-FFF2-40B4-BE49-F238E27FC236}">
              <a16:creationId xmlns:a16="http://schemas.microsoft.com/office/drawing/2014/main" id="{00000000-0008-0000-0200-000030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419100</xdr:colOff>
      <xdr:row>133</xdr:row>
      <xdr:rowOff>95250</xdr:rowOff>
    </xdr:from>
    <xdr:ext cx="657225" cy="1047750"/>
    <xdr:pic>
      <xdr:nvPicPr>
        <xdr:cNvPr id="49" name="image68.jpg">
          <a:extLst>
            <a:ext uri="{FF2B5EF4-FFF2-40B4-BE49-F238E27FC236}">
              <a16:creationId xmlns:a16="http://schemas.microsoft.com/office/drawing/2014/main" id="{00000000-0008-0000-0200-000031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2</xdr:col>
      <xdr:colOff>57150</xdr:colOff>
      <xdr:row>151</xdr:row>
      <xdr:rowOff>85725</xdr:rowOff>
    </xdr:from>
    <xdr:ext cx="638175" cy="1123950"/>
    <xdr:pic>
      <xdr:nvPicPr>
        <xdr:cNvPr id="50" name="image66.png" title="Imagen">
          <a:extLst>
            <a:ext uri="{FF2B5EF4-FFF2-40B4-BE49-F238E27FC236}">
              <a16:creationId xmlns:a16="http://schemas.microsoft.com/office/drawing/2014/main" id="{00000000-0008-0000-0200-000032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2</xdr:col>
      <xdr:colOff>485775</xdr:colOff>
      <xdr:row>161</xdr:row>
      <xdr:rowOff>47625</xdr:rowOff>
    </xdr:from>
    <xdr:ext cx="542925" cy="1333500"/>
    <xdr:pic>
      <xdr:nvPicPr>
        <xdr:cNvPr id="51" name="image53.jpg" title="Imagen">
          <a:extLst>
            <a:ext uri="{FF2B5EF4-FFF2-40B4-BE49-F238E27FC236}">
              <a16:creationId xmlns:a16="http://schemas.microsoft.com/office/drawing/2014/main" id="{00000000-0008-0000-0200-000033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2</xdr:col>
      <xdr:colOff>28575</xdr:colOff>
      <xdr:row>162</xdr:row>
      <xdr:rowOff>114300</xdr:rowOff>
    </xdr:from>
    <xdr:ext cx="1609725" cy="1009650"/>
    <xdr:pic>
      <xdr:nvPicPr>
        <xdr:cNvPr id="52" name="image62.jpg" title="Imagen">
          <a:extLst>
            <a:ext uri="{FF2B5EF4-FFF2-40B4-BE49-F238E27FC236}">
              <a16:creationId xmlns:a16="http://schemas.microsoft.com/office/drawing/2014/main" id="{00000000-0008-0000-0200-000034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2</xdr:col>
      <xdr:colOff>57150</xdr:colOff>
      <xdr:row>162</xdr:row>
      <xdr:rowOff>1171575</xdr:rowOff>
    </xdr:from>
    <xdr:ext cx="1914525" cy="1514475"/>
    <xdr:pic>
      <xdr:nvPicPr>
        <xdr:cNvPr id="53" name="image63.jpg" title="Imagen">
          <a:extLst>
            <a:ext uri="{FF2B5EF4-FFF2-40B4-BE49-F238E27FC236}">
              <a16:creationId xmlns:a16="http://schemas.microsoft.com/office/drawing/2014/main" id="{00000000-0008-0000-0200-000035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2</xdr:col>
      <xdr:colOff>38100</xdr:colOff>
      <xdr:row>166</xdr:row>
      <xdr:rowOff>47625</xdr:rowOff>
    </xdr:from>
    <xdr:ext cx="1914525" cy="1419225"/>
    <xdr:pic>
      <xdr:nvPicPr>
        <xdr:cNvPr id="54" name="image70.jpg" title="Imagen">
          <a:extLst>
            <a:ext uri="{FF2B5EF4-FFF2-40B4-BE49-F238E27FC236}">
              <a16:creationId xmlns:a16="http://schemas.microsoft.com/office/drawing/2014/main" id="{00000000-0008-0000-0200-000036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2</xdr:col>
      <xdr:colOff>76200</xdr:colOff>
      <xdr:row>171</xdr:row>
      <xdr:rowOff>47625</xdr:rowOff>
    </xdr:from>
    <xdr:ext cx="2009775" cy="1209675"/>
    <xdr:pic>
      <xdr:nvPicPr>
        <xdr:cNvPr id="55" name="image67.jpg" title="Imagen">
          <a:extLst>
            <a:ext uri="{FF2B5EF4-FFF2-40B4-BE49-F238E27FC236}">
              <a16:creationId xmlns:a16="http://schemas.microsoft.com/office/drawing/2014/main" id="{00000000-0008-0000-0200-000037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2</xdr:col>
      <xdr:colOff>285750</xdr:colOff>
      <xdr:row>335</xdr:row>
      <xdr:rowOff>66675</xdr:rowOff>
    </xdr:from>
    <xdr:ext cx="1466850" cy="1181100"/>
    <xdr:pic>
      <xdr:nvPicPr>
        <xdr:cNvPr id="56" name="image65.jpg" title="Imagen">
          <a:extLst>
            <a:ext uri="{FF2B5EF4-FFF2-40B4-BE49-F238E27FC236}">
              <a16:creationId xmlns:a16="http://schemas.microsoft.com/office/drawing/2014/main" id="{00000000-0008-0000-0200-000038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2</xdr:col>
      <xdr:colOff>504825</xdr:colOff>
      <xdr:row>191</xdr:row>
      <xdr:rowOff>57150</xdr:rowOff>
    </xdr:from>
    <xdr:ext cx="790575" cy="1123950"/>
    <xdr:pic>
      <xdr:nvPicPr>
        <xdr:cNvPr id="57" name="image69.jpg" title="Imagen">
          <a:extLst>
            <a:ext uri="{FF2B5EF4-FFF2-40B4-BE49-F238E27FC236}">
              <a16:creationId xmlns:a16="http://schemas.microsoft.com/office/drawing/2014/main" id="{00000000-0008-0000-0200-000039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2</xdr:col>
      <xdr:colOff>228600</xdr:colOff>
      <xdr:row>204</xdr:row>
      <xdr:rowOff>123825</xdr:rowOff>
    </xdr:from>
    <xdr:ext cx="1123950" cy="1419225"/>
    <xdr:pic>
      <xdr:nvPicPr>
        <xdr:cNvPr id="58" name="image73.png" title="Imagen">
          <a:extLst>
            <a:ext uri="{FF2B5EF4-FFF2-40B4-BE49-F238E27FC236}">
              <a16:creationId xmlns:a16="http://schemas.microsoft.com/office/drawing/2014/main" id="{00000000-0008-0000-0200-00003A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2</xdr:col>
      <xdr:colOff>19050</xdr:colOff>
      <xdr:row>208</xdr:row>
      <xdr:rowOff>47625</xdr:rowOff>
    </xdr:from>
    <xdr:ext cx="638175" cy="666750"/>
    <xdr:pic>
      <xdr:nvPicPr>
        <xdr:cNvPr id="59" name="image77.png" title="Imagen">
          <a:extLst>
            <a:ext uri="{FF2B5EF4-FFF2-40B4-BE49-F238E27FC236}">
              <a16:creationId xmlns:a16="http://schemas.microsoft.com/office/drawing/2014/main" id="{00000000-0008-0000-0200-00003B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400050</xdr:colOff>
      <xdr:row>208</xdr:row>
      <xdr:rowOff>447675</xdr:rowOff>
    </xdr:from>
    <xdr:ext cx="857250" cy="885825"/>
    <xdr:pic>
      <xdr:nvPicPr>
        <xdr:cNvPr id="60" name="image72.png" title="Imagen">
          <a:extLst>
            <a:ext uri="{FF2B5EF4-FFF2-40B4-BE49-F238E27FC236}">
              <a16:creationId xmlns:a16="http://schemas.microsoft.com/office/drawing/2014/main" id="{00000000-0008-0000-0200-00003C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2</xdr:col>
      <xdr:colOff>371475</xdr:colOff>
      <xdr:row>203</xdr:row>
      <xdr:rowOff>47625</xdr:rowOff>
    </xdr:from>
    <xdr:ext cx="723900" cy="1190625"/>
    <xdr:pic>
      <xdr:nvPicPr>
        <xdr:cNvPr id="61" name="image87.png" title="Imagen">
          <a:extLst>
            <a:ext uri="{FF2B5EF4-FFF2-40B4-BE49-F238E27FC236}">
              <a16:creationId xmlns:a16="http://schemas.microsoft.com/office/drawing/2014/main" id="{00000000-0008-0000-0200-00003D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2</xdr:col>
      <xdr:colOff>114300</xdr:colOff>
      <xdr:row>206</xdr:row>
      <xdr:rowOff>19050</xdr:rowOff>
    </xdr:from>
    <xdr:ext cx="1323975" cy="1047750"/>
    <xdr:pic>
      <xdr:nvPicPr>
        <xdr:cNvPr id="62" name="image89.png" title="Imagen">
          <a:extLst>
            <a:ext uri="{FF2B5EF4-FFF2-40B4-BE49-F238E27FC236}">
              <a16:creationId xmlns:a16="http://schemas.microsoft.com/office/drawing/2014/main" id="{00000000-0008-0000-0200-00003E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2</xdr:col>
      <xdr:colOff>152400</xdr:colOff>
      <xdr:row>207</xdr:row>
      <xdr:rowOff>104775</xdr:rowOff>
    </xdr:from>
    <xdr:ext cx="647700" cy="666750"/>
    <xdr:pic>
      <xdr:nvPicPr>
        <xdr:cNvPr id="63" name="image91.png" title="Imagen">
          <a:extLst>
            <a:ext uri="{FF2B5EF4-FFF2-40B4-BE49-F238E27FC236}">
              <a16:creationId xmlns:a16="http://schemas.microsoft.com/office/drawing/2014/main" id="{00000000-0008-0000-0200-00003F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2</xdr:col>
      <xdr:colOff>104775</xdr:colOff>
      <xdr:row>205</xdr:row>
      <xdr:rowOff>104775</xdr:rowOff>
    </xdr:from>
    <xdr:ext cx="1533525" cy="1476375"/>
    <xdr:pic>
      <xdr:nvPicPr>
        <xdr:cNvPr id="64" name="image75.jpg">
          <a:extLst>
            <a:ext uri="{FF2B5EF4-FFF2-40B4-BE49-F238E27FC236}">
              <a16:creationId xmlns:a16="http://schemas.microsoft.com/office/drawing/2014/main" id="{00000000-0008-0000-0200-000040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2</xdr:col>
      <xdr:colOff>114300</xdr:colOff>
      <xdr:row>211</xdr:row>
      <xdr:rowOff>19050</xdr:rowOff>
    </xdr:from>
    <xdr:ext cx="1343025" cy="1285875"/>
    <xdr:pic>
      <xdr:nvPicPr>
        <xdr:cNvPr id="65" name="image88.png">
          <a:extLst>
            <a:ext uri="{FF2B5EF4-FFF2-40B4-BE49-F238E27FC236}">
              <a16:creationId xmlns:a16="http://schemas.microsoft.com/office/drawing/2014/main" id="{00000000-0008-0000-0200-000041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114300</xdr:colOff>
      <xdr:row>211</xdr:row>
      <xdr:rowOff>19050</xdr:rowOff>
    </xdr:from>
    <xdr:ext cx="1343025" cy="1285875"/>
    <xdr:pic>
      <xdr:nvPicPr>
        <xdr:cNvPr id="66" name="image88.png">
          <a:extLst>
            <a:ext uri="{FF2B5EF4-FFF2-40B4-BE49-F238E27FC236}">
              <a16:creationId xmlns:a16="http://schemas.microsoft.com/office/drawing/2014/main" id="{00000000-0008-0000-0200-000042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2</xdr:col>
      <xdr:colOff>400050</xdr:colOff>
      <xdr:row>223</xdr:row>
      <xdr:rowOff>47625</xdr:rowOff>
    </xdr:from>
    <xdr:ext cx="1123950" cy="1123950"/>
    <xdr:pic>
      <xdr:nvPicPr>
        <xdr:cNvPr id="67" name="image85.png" title="Imagen">
          <a:extLst>
            <a:ext uri="{FF2B5EF4-FFF2-40B4-BE49-F238E27FC236}">
              <a16:creationId xmlns:a16="http://schemas.microsoft.com/office/drawing/2014/main" id="{00000000-0008-0000-0200-000043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3305175</xdr:colOff>
      <xdr:row>216</xdr:row>
      <xdr:rowOff>409575</xdr:rowOff>
    </xdr:from>
    <xdr:ext cx="5772150" cy="5267325"/>
    <xdr:pic>
      <xdr:nvPicPr>
        <xdr:cNvPr id="68" name="image84.jpg" title="Imagen">
          <a:extLst>
            <a:ext uri="{FF2B5EF4-FFF2-40B4-BE49-F238E27FC236}">
              <a16:creationId xmlns:a16="http://schemas.microsoft.com/office/drawing/2014/main" id="{00000000-0008-0000-0200-000044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2</xdr:col>
      <xdr:colOff>9525</xdr:colOff>
      <xdr:row>239</xdr:row>
      <xdr:rowOff>114300</xdr:rowOff>
    </xdr:from>
    <xdr:ext cx="790575" cy="1009650"/>
    <xdr:pic>
      <xdr:nvPicPr>
        <xdr:cNvPr id="69" name="image92.png" title="Imagen">
          <a:extLst>
            <a:ext uri="{FF2B5EF4-FFF2-40B4-BE49-F238E27FC236}">
              <a16:creationId xmlns:a16="http://schemas.microsoft.com/office/drawing/2014/main" id="{00000000-0008-0000-0200-000045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2</xdr:col>
      <xdr:colOff>457200</xdr:colOff>
      <xdr:row>237</xdr:row>
      <xdr:rowOff>342900</xdr:rowOff>
    </xdr:from>
    <xdr:ext cx="1123950" cy="1047750"/>
    <xdr:pic>
      <xdr:nvPicPr>
        <xdr:cNvPr id="70" name="image100.png" title="Imagen">
          <a:extLst>
            <a:ext uri="{FF2B5EF4-FFF2-40B4-BE49-F238E27FC236}">
              <a16:creationId xmlns:a16="http://schemas.microsoft.com/office/drawing/2014/main" id="{00000000-0008-0000-0200-000046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2</xdr:col>
      <xdr:colOff>800100</xdr:colOff>
      <xdr:row>239</xdr:row>
      <xdr:rowOff>85725</xdr:rowOff>
    </xdr:from>
    <xdr:ext cx="1323975" cy="1047750"/>
    <xdr:pic>
      <xdr:nvPicPr>
        <xdr:cNvPr id="71" name="image80.png" title="Imagen">
          <a:extLst>
            <a:ext uri="{FF2B5EF4-FFF2-40B4-BE49-F238E27FC236}">
              <a16:creationId xmlns:a16="http://schemas.microsoft.com/office/drawing/2014/main" id="{00000000-0008-0000-0200-000047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2</xdr:col>
      <xdr:colOff>1038225</xdr:colOff>
      <xdr:row>281</xdr:row>
      <xdr:rowOff>466725</xdr:rowOff>
    </xdr:from>
    <xdr:ext cx="1228725" cy="1571625"/>
    <xdr:pic>
      <xdr:nvPicPr>
        <xdr:cNvPr id="72" name="image81.png" title="Imagen">
          <a:extLst>
            <a:ext uri="{FF2B5EF4-FFF2-40B4-BE49-F238E27FC236}">
              <a16:creationId xmlns:a16="http://schemas.microsoft.com/office/drawing/2014/main" id="{00000000-0008-0000-0200-000048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2</xdr:col>
      <xdr:colOff>57150</xdr:colOff>
      <xdr:row>281</xdr:row>
      <xdr:rowOff>1343025</xdr:rowOff>
    </xdr:from>
    <xdr:ext cx="857250" cy="962025"/>
    <xdr:pic>
      <xdr:nvPicPr>
        <xdr:cNvPr id="73" name="image79.png" title="Imagen">
          <a:extLst>
            <a:ext uri="{FF2B5EF4-FFF2-40B4-BE49-F238E27FC236}">
              <a16:creationId xmlns:a16="http://schemas.microsoft.com/office/drawing/2014/main" id="{00000000-0008-0000-0200-000049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2</xdr:col>
      <xdr:colOff>323850</xdr:colOff>
      <xdr:row>298</xdr:row>
      <xdr:rowOff>38100</xdr:rowOff>
    </xdr:from>
    <xdr:ext cx="1219200" cy="1123950"/>
    <xdr:pic>
      <xdr:nvPicPr>
        <xdr:cNvPr id="74" name="image78.png" title="Imagen">
          <a:extLst>
            <a:ext uri="{FF2B5EF4-FFF2-40B4-BE49-F238E27FC236}">
              <a16:creationId xmlns:a16="http://schemas.microsoft.com/office/drawing/2014/main" id="{00000000-0008-0000-0200-00004A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2</xdr:col>
      <xdr:colOff>295275</xdr:colOff>
      <xdr:row>316</xdr:row>
      <xdr:rowOff>85725</xdr:rowOff>
    </xdr:from>
    <xdr:ext cx="1323975" cy="1181100"/>
    <xdr:pic>
      <xdr:nvPicPr>
        <xdr:cNvPr id="75" name="image77.png" title="Imagen">
          <a:extLst>
            <a:ext uri="{FF2B5EF4-FFF2-40B4-BE49-F238E27FC236}">
              <a16:creationId xmlns:a16="http://schemas.microsoft.com/office/drawing/2014/main" id="{00000000-0008-0000-0200-00004B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2</xdr:col>
      <xdr:colOff>314325</xdr:colOff>
      <xdr:row>317</xdr:row>
      <xdr:rowOff>57150</xdr:rowOff>
    </xdr:from>
    <xdr:ext cx="1343025" cy="1123950"/>
    <xdr:pic>
      <xdr:nvPicPr>
        <xdr:cNvPr id="76" name="image86.jpg" title="Imagen">
          <a:extLst>
            <a:ext uri="{FF2B5EF4-FFF2-40B4-BE49-F238E27FC236}">
              <a16:creationId xmlns:a16="http://schemas.microsoft.com/office/drawing/2014/main" id="{00000000-0008-0000-0200-00004C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2</xdr:col>
      <xdr:colOff>295275</xdr:colOff>
      <xdr:row>322</xdr:row>
      <xdr:rowOff>1571625</xdr:rowOff>
    </xdr:from>
    <xdr:ext cx="1381125" cy="1190625"/>
    <xdr:pic>
      <xdr:nvPicPr>
        <xdr:cNvPr id="77" name="image83.jpg" title="Imagen">
          <a:extLst>
            <a:ext uri="{FF2B5EF4-FFF2-40B4-BE49-F238E27FC236}">
              <a16:creationId xmlns:a16="http://schemas.microsoft.com/office/drawing/2014/main" id="{00000000-0008-0000-0200-00004D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2</xdr:col>
      <xdr:colOff>266700</xdr:colOff>
      <xdr:row>322</xdr:row>
      <xdr:rowOff>95250</xdr:rowOff>
    </xdr:from>
    <xdr:ext cx="1323975" cy="1362075"/>
    <xdr:pic>
      <xdr:nvPicPr>
        <xdr:cNvPr id="78" name="image90.jpg" title="Imagen">
          <a:extLst>
            <a:ext uri="{FF2B5EF4-FFF2-40B4-BE49-F238E27FC236}">
              <a16:creationId xmlns:a16="http://schemas.microsoft.com/office/drawing/2014/main" id="{00000000-0008-0000-0200-00004E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2</xdr:col>
      <xdr:colOff>257175</xdr:colOff>
      <xdr:row>328</xdr:row>
      <xdr:rowOff>57150</xdr:rowOff>
    </xdr:from>
    <xdr:ext cx="1447800" cy="1123950"/>
    <xdr:pic>
      <xdr:nvPicPr>
        <xdr:cNvPr id="79" name="image82.jpg" title="Imagen">
          <a:extLst>
            <a:ext uri="{FF2B5EF4-FFF2-40B4-BE49-F238E27FC236}">
              <a16:creationId xmlns:a16="http://schemas.microsoft.com/office/drawing/2014/main" id="{00000000-0008-0000-0200-00004F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2</xdr:col>
      <xdr:colOff>0</xdr:colOff>
      <xdr:row>17</xdr:row>
      <xdr:rowOff>0</xdr:rowOff>
    </xdr:from>
    <xdr:ext cx="1695450" cy="1724025"/>
    <xdr:pic>
      <xdr:nvPicPr>
        <xdr:cNvPr id="80" name="image99.jpg">
          <a:extLst>
            <a:ext uri="{FF2B5EF4-FFF2-40B4-BE49-F238E27FC236}">
              <a16:creationId xmlns:a16="http://schemas.microsoft.com/office/drawing/2014/main" id="{00000000-0008-0000-0200-000050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2</xdr:col>
      <xdr:colOff>0</xdr:colOff>
      <xdr:row>31</xdr:row>
      <xdr:rowOff>0</xdr:rowOff>
    </xdr:from>
    <xdr:ext cx="1390650" cy="1495425"/>
    <xdr:pic>
      <xdr:nvPicPr>
        <xdr:cNvPr id="81" name="image93.jpg">
          <a:extLst>
            <a:ext uri="{FF2B5EF4-FFF2-40B4-BE49-F238E27FC236}">
              <a16:creationId xmlns:a16="http://schemas.microsoft.com/office/drawing/2014/main" id="{00000000-0008-0000-0200-000051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2</xdr:col>
      <xdr:colOff>0</xdr:colOff>
      <xdr:row>32</xdr:row>
      <xdr:rowOff>0</xdr:rowOff>
    </xdr:from>
    <xdr:ext cx="2152650" cy="1276350"/>
    <xdr:pic>
      <xdr:nvPicPr>
        <xdr:cNvPr id="82" name="image98.jpg">
          <a:extLst>
            <a:ext uri="{FF2B5EF4-FFF2-40B4-BE49-F238E27FC236}">
              <a16:creationId xmlns:a16="http://schemas.microsoft.com/office/drawing/2014/main" id="{00000000-0008-0000-0200-000052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2</xdr:col>
      <xdr:colOff>0</xdr:colOff>
      <xdr:row>42</xdr:row>
      <xdr:rowOff>0</xdr:rowOff>
    </xdr:from>
    <xdr:ext cx="1790700" cy="1209675"/>
    <xdr:pic>
      <xdr:nvPicPr>
        <xdr:cNvPr id="83" name="image96.png">
          <a:extLst>
            <a:ext uri="{FF2B5EF4-FFF2-40B4-BE49-F238E27FC236}">
              <a16:creationId xmlns:a16="http://schemas.microsoft.com/office/drawing/2014/main" id="{00000000-0008-0000-0200-000053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2</xdr:col>
      <xdr:colOff>0</xdr:colOff>
      <xdr:row>67</xdr:row>
      <xdr:rowOff>0</xdr:rowOff>
    </xdr:from>
    <xdr:ext cx="1171575" cy="828675"/>
    <xdr:pic>
      <xdr:nvPicPr>
        <xdr:cNvPr id="84" name="image95.png">
          <a:extLst>
            <a:ext uri="{FF2B5EF4-FFF2-40B4-BE49-F238E27FC236}">
              <a16:creationId xmlns:a16="http://schemas.microsoft.com/office/drawing/2014/main" id="{00000000-0008-0000-0200-000054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2</xdr:col>
      <xdr:colOff>0</xdr:colOff>
      <xdr:row>105</xdr:row>
      <xdr:rowOff>0</xdr:rowOff>
    </xdr:from>
    <xdr:ext cx="838200" cy="1314450"/>
    <xdr:pic>
      <xdr:nvPicPr>
        <xdr:cNvPr id="85" name="image104.jpg">
          <a:extLst>
            <a:ext uri="{FF2B5EF4-FFF2-40B4-BE49-F238E27FC236}">
              <a16:creationId xmlns:a16="http://schemas.microsoft.com/office/drawing/2014/main" id="{00000000-0008-0000-0200-000055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2</xdr:col>
      <xdr:colOff>0</xdr:colOff>
      <xdr:row>118</xdr:row>
      <xdr:rowOff>0</xdr:rowOff>
    </xdr:from>
    <xdr:ext cx="1933575" cy="942975"/>
    <xdr:pic>
      <xdr:nvPicPr>
        <xdr:cNvPr id="86" name="image94.jpg">
          <a:extLst>
            <a:ext uri="{FF2B5EF4-FFF2-40B4-BE49-F238E27FC236}">
              <a16:creationId xmlns:a16="http://schemas.microsoft.com/office/drawing/2014/main" id="{00000000-0008-0000-0200-000056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2</xdr:col>
      <xdr:colOff>0</xdr:colOff>
      <xdr:row>141</xdr:row>
      <xdr:rowOff>0</xdr:rowOff>
    </xdr:from>
    <xdr:ext cx="2171700" cy="1076325"/>
    <xdr:pic>
      <xdr:nvPicPr>
        <xdr:cNvPr id="87" name="image101.png">
          <a:extLst>
            <a:ext uri="{FF2B5EF4-FFF2-40B4-BE49-F238E27FC236}">
              <a16:creationId xmlns:a16="http://schemas.microsoft.com/office/drawing/2014/main" id="{00000000-0008-0000-0200-000057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2</xdr:col>
      <xdr:colOff>0</xdr:colOff>
      <xdr:row>149</xdr:row>
      <xdr:rowOff>0</xdr:rowOff>
    </xdr:from>
    <xdr:ext cx="1600200" cy="1095375"/>
    <xdr:pic>
      <xdr:nvPicPr>
        <xdr:cNvPr id="88" name="image34.png">
          <a:extLst>
            <a:ext uri="{FF2B5EF4-FFF2-40B4-BE49-F238E27FC236}">
              <a16:creationId xmlns:a16="http://schemas.microsoft.com/office/drawing/2014/main" id="{00000000-0008-0000-0200-000058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2</xdr:col>
      <xdr:colOff>0</xdr:colOff>
      <xdr:row>150</xdr:row>
      <xdr:rowOff>0</xdr:rowOff>
    </xdr:from>
    <xdr:ext cx="1123950" cy="1123950"/>
    <xdr:pic>
      <xdr:nvPicPr>
        <xdr:cNvPr id="89" name="image102.png">
          <a:extLst>
            <a:ext uri="{FF2B5EF4-FFF2-40B4-BE49-F238E27FC236}">
              <a16:creationId xmlns:a16="http://schemas.microsoft.com/office/drawing/2014/main" id="{00000000-0008-0000-0200-000059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2</xdr:col>
      <xdr:colOff>0</xdr:colOff>
      <xdr:row>177</xdr:row>
      <xdr:rowOff>0</xdr:rowOff>
    </xdr:from>
    <xdr:ext cx="742950" cy="990600"/>
    <xdr:pic>
      <xdr:nvPicPr>
        <xdr:cNvPr id="90" name="image113.jpg">
          <a:extLst>
            <a:ext uri="{FF2B5EF4-FFF2-40B4-BE49-F238E27FC236}">
              <a16:creationId xmlns:a16="http://schemas.microsoft.com/office/drawing/2014/main" id="{00000000-0008-0000-0200-00005A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2</xdr:col>
      <xdr:colOff>0</xdr:colOff>
      <xdr:row>188</xdr:row>
      <xdr:rowOff>0</xdr:rowOff>
    </xdr:from>
    <xdr:ext cx="2171700" cy="1066800"/>
    <xdr:pic>
      <xdr:nvPicPr>
        <xdr:cNvPr id="91" name="image106.jpg">
          <a:extLst>
            <a:ext uri="{FF2B5EF4-FFF2-40B4-BE49-F238E27FC236}">
              <a16:creationId xmlns:a16="http://schemas.microsoft.com/office/drawing/2014/main" id="{00000000-0008-0000-0200-00005B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2</xdr:col>
      <xdr:colOff>0</xdr:colOff>
      <xdr:row>207</xdr:row>
      <xdr:rowOff>0</xdr:rowOff>
    </xdr:from>
    <xdr:ext cx="1009650" cy="895350"/>
    <xdr:pic>
      <xdr:nvPicPr>
        <xdr:cNvPr id="92" name="image116.png">
          <a:extLst>
            <a:ext uri="{FF2B5EF4-FFF2-40B4-BE49-F238E27FC236}">
              <a16:creationId xmlns:a16="http://schemas.microsoft.com/office/drawing/2014/main" id="{00000000-0008-0000-0200-00005C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2</xdr:col>
      <xdr:colOff>0</xdr:colOff>
      <xdr:row>216</xdr:row>
      <xdr:rowOff>0</xdr:rowOff>
    </xdr:from>
    <xdr:ext cx="838200" cy="1228725"/>
    <xdr:pic>
      <xdr:nvPicPr>
        <xdr:cNvPr id="93" name="image110.png">
          <a:extLst>
            <a:ext uri="{FF2B5EF4-FFF2-40B4-BE49-F238E27FC236}">
              <a16:creationId xmlns:a16="http://schemas.microsoft.com/office/drawing/2014/main" id="{00000000-0008-0000-0200-00005D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2</xdr:col>
      <xdr:colOff>0</xdr:colOff>
      <xdr:row>221</xdr:row>
      <xdr:rowOff>0</xdr:rowOff>
    </xdr:from>
    <xdr:ext cx="2171700" cy="733425"/>
    <xdr:pic>
      <xdr:nvPicPr>
        <xdr:cNvPr id="94" name="image105.png">
          <a:extLst>
            <a:ext uri="{FF2B5EF4-FFF2-40B4-BE49-F238E27FC236}">
              <a16:creationId xmlns:a16="http://schemas.microsoft.com/office/drawing/2014/main" id="{00000000-0008-0000-0200-00005E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2</xdr:col>
      <xdr:colOff>0</xdr:colOff>
      <xdr:row>228</xdr:row>
      <xdr:rowOff>0</xdr:rowOff>
    </xdr:from>
    <xdr:ext cx="1095375" cy="1438275"/>
    <xdr:pic>
      <xdr:nvPicPr>
        <xdr:cNvPr id="95" name="image97.png">
          <a:extLst>
            <a:ext uri="{FF2B5EF4-FFF2-40B4-BE49-F238E27FC236}">
              <a16:creationId xmlns:a16="http://schemas.microsoft.com/office/drawing/2014/main" id="{00000000-0008-0000-0200-00005F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2</xdr:col>
      <xdr:colOff>0</xdr:colOff>
      <xdr:row>229</xdr:row>
      <xdr:rowOff>0</xdr:rowOff>
    </xdr:from>
    <xdr:ext cx="1790700" cy="1219200"/>
    <xdr:pic>
      <xdr:nvPicPr>
        <xdr:cNvPr id="96" name="image108.png">
          <a:extLst>
            <a:ext uri="{FF2B5EF4-FFF2-40B4-BE49-F238E27FC236}">
              <a16:creationId xmlns:a16="http://schemas.microsoft.com/office/drawing/2014/main" id="{00000000-0008-0000-0200-000060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230</xdr:row>
      <xdr:rowOff>0</xdr:rowOff>
    </xdr:from>
    <xdr:ext cx="485775" cy="333375"/>
    <xdr:pic>
      <xdr:nvPicPr>
        <xdr:cNvPr id="97" name="image108.png">
          <a:extLst>
            <a:ext uri="{FF2B5EF4-FFF2-40B4-BE49-F238E27FC236}">
              <a16:creationId xmlns:a16="http://schemas.microsoft.com/office/drawing/2014/main" id="{00000000-0008-0000-0200-000061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231</xdr:row>
      <xdr:rowOff>0</xdr:rowOff>
    </xdr:from>
    <xdr:ext cx="276225" cy="190500"/>
    <xdr:pic>
      <xdr:nvPicPr>
        <xdr:cNvPr id="98" name="image108.png">
          <a:extLst>
            <a:ext uri="{FF2B5EF4-FFF2-40B4-BE49-F238E27FC236}">
              <a16:creationId xmlns:a16="http://schemas.microsoft.com/office/drawing/2014/main" id="{00000000-0008-0000-0200-000062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232</xdr:row>
      <xdr:rowOff>0</xdr:rowOff>
    </xdr:from>
    <xdr:ext cx="276225" cy="190500"/>
    <xdr:pic>
      <xdr:nvPicPr>
        <xdr:cNvPr id="99" name="image108.png">
          <a:extLst>
            <a:ext uri="{FF2B5EF4-FFF2-40B4-BE49-F238E27FC236}">
              <a16:creationId xmlns:a16="http://schemas.microsoft.com/office/drawing/2014/main" id="{00000000-0008-0000-0200-000063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233</xdr:row>
      <xdr:rowOff>0</xdr:rowOff>
    </xdr:from>
    <xdr:ext cx="276225" cy="190500"/>
    <xdr:pic>
      <xdr:nvPicPr>
        <xdr:cNvPr id="100" name="image108.png">
          <a:extLst>
            <a:ext uri="{FF2B5EF4-FFF2-40B4-BE49-F238E27FC236}">
              <a16:creationId xmlns:a16="http://schemas.microsoft.com/office/drawing/2014/main" id="{00000000-0008-0000-0200-000064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234</xdr:row>
      <xdr:rowOff>0</xdr:rowOff>
    </xdr:from>
    <xdr:ext cx="276225" cy="190500"/>
    <xdr:pic>
      <xdr:nvPicPr>
        <xdr:cNvPr id="101" name="image108.png">
          <a:extLst>
            <a:ext uri="{FF2B5EF4-FFF2-40B4-BE49-F238E27FC236}">
              <a16:creationId xmlns:a16="http://schemas.microsoft.com/office/drawing/2014/main" id="{00000000-0008-0000-0200-000065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235</xdr:row>
      <xdr:rowOff>0</xdr:rowOff>
    </xdr:from>
    <xdr:ext cx="1562100" cy="1066800"/>
    <xdr:pic>
      <xdr:nvPicPr>
        <xdr:cNvPr id="102" name="image108.png">
          <a:extLst>
            <a:ext uri="{FF2B5EF4-FFF2-40B4-BE49-F238E27FC236}">
              <a16:creationId xmlns:a16="http://schemas.microsoft.com/office/drawing/2014/main" id="{00000000-0008-0000-0200-000066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0</xdr:colOff>
      <xdr:row>252</xdr:row>
      <xdr:rowOff>0</xdr:rowOff>
    </xdr:from>
    <xdr:ext cx="1543050" cy="876300"/>
    <xdr:pic>
      <xdr:nvPicPr>
        <xdr:cNvPr id="103" name="image119.jpg">
          <a:extLst>
            <a:ext uri="{FF2B5EF4-FFF2-40B4-BE49-F238E27FC236}">
              <a16:creationId xmlns:a16="http://schemas.microsoft.com/office/drawing/2014/main" id="{00000000-0008-0000-0200-000067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2</xdr:col>
      <xdr:colOff>0</xdr:colOff>
      <xdr:row>266</xdr:row>
      <xdr:rowOff>0</xdr:rowOff>
    </xdr:from>
    <xdr:ext cx="1600200" cy="1133475"/>
    <xdr:pic>
      <xdr:nvPicPr>
        <xdr:cNvPr id="104" name="image103.jpg">
          <a:extLst>
            <a:ext uri="{FF2B5EF4-FFF2-40B4-BE49-F238E27FC236}">
              <a16:creationId xmlns:a16="http://schemas.microsoft.com/office/drawing/2014/main" id="{00000000-0008-0000-0200-000068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2</xdr:col>
      <xdr:colOff>0</xdr:colOff>
      <xdr:row>281</xdr:row>
      <xdr:rowOff>0</xdr:rowOff>
    </xdr:from>
    <xdr:ext cx="1171575" cy="1362075"/>
    <xdr:pic>
      <xdr:nvPicPr>
        <xdr:cNvPr id="105" name="image109.png">
          <a:extLst>
            <a:ext uri="{FF2B5EF4-FFF2-40B4-BE49-F238E27FC236}">
              <a16:creationId xmlns:a16="http://schemas.microsoft.com/office/drawing/2014/main" id="{00000000-0008-0000-0200-000069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0</xdr:colOff>
      <xdr:row>299</xdr:row>
      <xdr:rowOff>0</xdr:rowOff>
    </xdr:from>
    <xdr:ext cx="1247775" cy="1200150"/>
    <xdr:pic>
      <xdr:nvPicPr>
        <xdr:cNvPr id="106" name="image114.png">
          <a:extLst>
            <a:ext uri="{FF2B5EF4-FFF2-40B4-BE49-F238E27FC236}">
              <a16:creationId xmlns:a16="http://schemas.microsoft.com/office/drawing/2014/main" id="{00000000-0008-0000-0200-00006A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2</xdr:col>
      <xdr:colOff>0</xdr:colOff>
      <xdr:row>329</xdr:row>
      <xdr:rowOff>0</xdr:rowOff>
    </xdr:from>
    <xdr:ext cx="2171700" cy="971550"/>
    <xdr:pic>
      <xdr:nvPicPr>
        <xdr:cNvPr id="107" name="image107.jpg">
          <a:extLst>
            <a:ext uri="{FF2B5EF4-FFF2-40B4-BE49-F238E27FC236}">
              <a16:creationId xmlns:a16="http://schemas.microsoft.com/office/drawing/2014/main" id="{00000000-0008-0000-0200-00006B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2</xdr:col>
      <xdr:colOff>0</xdr:colOff>
      <xdr:row>336</xdr:row>
      <xdr:rowOff>0</xdr:rowOff>
    </xdr:from>
    <xdr:ext cx="1638300" cy="1171575"/>
    <xdr:pic>
      <xdr:nvPicPr>
        <xdr:cNvPr id="108" name="image111.png">
          <a:extLst>
            <a:ext uri="{FF2B5EF4-FFF2-40B4-BE49-F238E27FC236}">
              <a16:creationId xmlns:a16="http://schemas.microsoft.com/office/drawing/2014/main" id="{00000000-0008-0000-0200-00006C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2</xdr:col>
      <xdr:colOff>190500</xdr:colOff>
      <xdr:row>7</xdr:row>
      <xdr:rowOff>19050</xdr:rowOff>
    </xdr:from>
    <xdr:ext cx="1066800" cy="752475"/>
    <xdr:pic>
      <xdr:nvPicPr>
        <xdr:cNvPr id="2" name="image38.png" title="Imagen">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8</xdr:row>
      <xdr:rowOff>28575</xdr:rowOff>
    </xdr:from>
    <xdr:ext cx="1400175" cy="752475"/>
    <xdr:pic>
      <xdr:nvPicPr>
        <xdr:cNvPr id="3" name="image42.png" title="Imagen">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2</xdr:col>
      <xdr:colOff>123825</xdr:colOff>
      <xdr:row>7</xdr:row>
      <xdr:rowOff>361950</xdr:rowOff>
    </xdr:from>
    <xdr:ext cx="1152525" cy="1009650"/>
    <xdr:pic>
      <xdr:nvPicPr>
        <xdr:cNvPr id="2" name="image28.png" title="Imagen">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4572000</xdr:colOff>
      <xdr:row>8</xdr:row>
      <xdr:rowOff>1114425</xdr:rowOff>
    </xdr:from>
    <xdr:ext cx="1485900" cy="742950"/>
    <xdr:pic>
      <xdr:nvPicPr>
        <xdr:cNvPr id="3" name="image19.png" title="Imagen">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4572000</xdr:colOff>
      <xdr:row>9</xdr:row>
      <xdr:rowOff>800100</xdr:rowOff>
    </xdr:from>
    <xdr:ext cx="1485900" cy="1209675"/>
    <xdr:pic>
      <xdr:nvPicPr>
        <xdr:cNvPr id="4" name="image9.png" title="Imagen">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381000</xdr:colOff>
      <xdr:row>10</xdr:row>
      <xdr:rowOff>1209675</xdr:rowOff>
    </xdr:from>
    <xdr:ext cx="981075" cy="1162050"/>
    <xdr:pic>
      <xdr:nvPicPr>
        <xdr:cNvPr id="5" name="image30.png" title="Imagen">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2</xdr:col>
      <xdr:colOff>219075</xdr:colOff>
      <xdr:row>7</xdr:row>
      <xdr:rowOff>361950</xdr:rowOff>
    </xdr:from>
    <xdr:ext cx="1000125" cy="1085850"/>
    <xdr:pic>
      <xdr:nvPicPr>
        <xdr:cNvPr id="2" name="image32.png" title="Imagen">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152400</xdr:colOff>
      <xdr:row>9</xdr:row>
      <xdr:rowOff>857250</xdr:rowOff>
    </xdr:from>
    <xdr:ext cx="1362075" cy="762000"/>
    <xdr:pic>
      <xdr:nvPicPr>
        <xdr:cNvPr id="3" name="image23.png" title="Imagen">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9</xdr:row>
      <xdr:rowOff>0</xdr:rowOff>
    </xdr:from>
    <xdr:ext cx="1514475" cy="847725"/>
    <xdr:pic>
      <xdr:nvPicPr>
        <xdr:cNvPr id="4" name="image33.png">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2</xdr:col>
      <xdr:colOff>295275</xdr:colOff>
      <xdr:row>5</xdr:row>
      <xdr:rowOff>381000</xdr:rowOff>
    </xdr:from>
    <xdr:ext cx="990600" cy="1162050"/>
    <xdr:pic>
      <xdr:nvPicPr>
        <xdr:cNvPr id="2" name="image115.png" title="Imagen">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295275</xdr:colOff>
      <xdr:row>7</xdr:row>
      <xdr:rowOff>47625</xdr:rowOff>
    </xdr:from>
    <xdr:ext cx="990600" cy="733425"/>
    <xdr:pic>
      <xdr:nvPicPr>
        <xdr:cNvPr id="3" name="image112.png" title="Imagen">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2</xdr:col>
      <xdr:colOff>323850</xdr:colOff>
      <xdr:row>6</xdr:row>
      <xdr:rowOff>47625</xdr:rowOff>
    </xdr:from>
    <xdr:ext cx="857250" cy="781050"/>
    <xdr:pic>
      <xdr:nvPicPr>
        <xdr:cNvPr id="2" name="image118.png" title="Imagen">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7</xdr:row>
      <xdr:rowOff>0</xdr:rowOff>
    </xdr:from>
    <xdr:ext cx="1019175" cy="847725"/>
    <xdr:pic>
      <xdr:nvPicPr>
        <xdr:cNvPr id="3" name="image117.pn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2</xdr:col>
      <xdr:colOff>228600</xdr:colOff>
      <xdr:row>11</xdr:row>
      <xdr:rowOff>57150</xdr:rowOff>
    </xdr:from>
    <xdr:ext cx="600075" cy="723900"/>
    <xdr:pic>
      <xdr:nvPicPr>
        <xdr:cNvPr id="2" name="image20.png" title="Imagen">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10</xdr:row>
      <xdr:rowOff>0</xdr:rowOff>
    </xdr:from>
    <xdr:ext cx="1047750" cy="1152525"/>
    <xdr:pic>
      <xdr:nvPicPr>
        <xdr:cNvPr id="3" name="image2.pn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2</xdr:col>
      <xdr:colOff>180975</xdr:colOff>
      <xdr:row>9</xdr:row>
      <xdr:rowOff>323850</xdr:rowOff>
    </xdr:from>
    <xdr:ext cx="838200" cy="885825"/>
    <xdr:pic>
      <xdr:nvPicPr>
        <xdr:cNvPr id="2" name="image10.png" title="Imagen">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19050</xdr:colOff>
      <xdr:row>10</xdr:row>
      <xdr:rowOff>838200</xdr:rowOff>
    </xdr:from>
    <xdr:ext cx="1419225" cy="1076325"/>
    <xdr:pic>
      <xdr:nvPicPr>
        <xdr:cNvPr id="3" name="image8.png" title="Imagen">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2</xdr:col>
      <xdr:colOff>0</xdr:colOff>
      <xdr:row>5</xdr:row>
      <xdr:rowOff>0</xdr:rowOff>
    </xdr:from>
    <xdr:ext cx="1152525" cy="847725"/>
    <xdr:pic>
      <xdr:nvPicPr>
        <xdr:cNvPr id="2" name="image25.pn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6</xdr:row>
      <xdr:rowOff>0</xdr:rowOff>
    </xdr:from>
    <xdr:ext cx="1533525" cy="847725"/>
    <xdr:pic>
      <xdr:nvPicPr>
        <xdr:cNvPr id="3" name="image39.png">
          <a:extLst>
            <a:ext uri="{FF2B5EF4-FFF2-40B4-BE49-F238E27FC236}">
              <a16:creationId xmlns:a16="http://schemas.microsoft.com/office/drawing/2014/main" id="{00000000-0008-0000-0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7</xdr:row>
      <xdr:rowOff>0</xdr:rowOff>
    </xdr:from>
    <xdr:ext cx="923925" cy="847725"/>
    <xdr:pic>
      <xdr:nvPicPr>
        <xdr:cNvPr id="4" name="image36.png">
          <a:extLst>
            <a:ext uri="{FF2B5EF4-FFF2-40B4-BE49-F238E27FC236}">
              <a16:creationId xmlns:a16="http://schemas.microsoft.com/office/drawing/2014/main" id="{00000000-0008-0000-0A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2</xdr:col>
      <xdr:colOff>76200</xdr:colOff>
      <xdr:row>7</xdr:row>
      <xdr:rowOff>85725</xdr:rowOff>
    </xdr:from>
    <xdr:ext cx="1152525" cy="657225"/>
    <xdr:pic>
      <xdr:nvPicPr>
        <xdr:cNvPr id="2" name="image11.png" title="Imagen">
          <a:extLst>
            <a:ext uri="{FF2B5EF4-FFF2-40B4-BE49-F238E27FC236}">
              <a16:creationId xmlns:a16="http://schemas.microsoft.com/office/drawing/2014/main" id="{00000000-0008-0000-0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304800</xdr:colOff>
      <xdr:row>8</xdr:row>
      <xdr:rowOff>19050</xdr:rowOff>
    </xdr:from>
    <xdr:ext cx="695325" cy="714375"/>
    <xdr:pic>
      <xdr:nvPicPr>
        <xdr:cNvPr id="3" name="image13.png" title="Imagen">
          <a:extLst>
            <a:ext uri="{FF2B5EF4-FFF2-40B4-BE49-F238E27FC236}">
              <a16:creationId xmlns:a16="http://schemas.microsoft.com/office/drawing/2014/main" id="{00000000-0008-0000-0B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6</xdr:row>
      <xdr:rowOff>0</xdr:rowOff>
    </xdr:from>
    <xdr:ext cx="1076325" cy="847725"/>
    <xdr:pic>
      <xdr:nvPicPr>
        <xdr:cNvPr id="4" name="image52.png">
          <a:extLst>
            <a:ext uri="{FF2B5EF4-FFF2-40B4-BE49-F238E27FC236}">
              <a16:creationId xmlns:a16="http://schemas.microsoft.com/office/drawing/2014/main" id="{00000000-0008-0000-0B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2</xdr:col>
      <xdr:colOff>276225</xdr:colOff>
      <xdr:row>11</xdr:row>
      <xdr:rowOff>161925</xdr:rowOff>
    </xdr:from>
    <xdr:ext cx="923925" cy="571500"/>
    <xdr:pic>
      <xdr:nvPicPr>
        <xdr:cNvPr id="2" name="image14.png" title="Imagen">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12</xdr:row>
      <xdr:rowOff>85725</xdr:rowOff>
    </xdr:from>
    <xdr:ext cx="1038225" cy="790575"/>
    <xdr:pic>
      <xdr:nvPicPr>
        <xdr:cNvPr id="3" name="image22.png" title="Imagen">
          <a:extLst>
            <a:ext uri="{FF2B5EF4-FFF2-40B4-BE49-F238E27FC236}">
              <a16:creationId xmlns:a16="http://schemas.microsoft.com/office/drawing/2014/main" id="{00000000-0008-0000-0C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323850</xdr:colOff>
      <xdr:row>13</xdr:row>
      <xdr:rowOff>142875</xdr:rowOff>
    </xdr:from>
    <xdr:ext cx="723900" cy="742950"/>
    <xdr:pic>
      <xdr:nvPicPr>
        <xdr:cNvPr id="4" name="image13.png" title="Imagen">
          <a:extLst>
            <a:ext uri="{FF2B5EF4-FFF2-40B4-BE49-F238E27FC236}">
              <a16:creationId xmlns:a16="http://schemas.microsoft.com/office/drawing/2014/main" id="{00000000-0008-0000-0C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142875</xdr:colOff>
      <xdr:row>14</xdr:row>
      <xdr:rowOff>161925</xdr:rowOff>
    </xdr:from>
    <xdr:ext cx="1085850" cy="742950"/>
    <xdr:pic>
      <xdr:nvPicPr>
        <xdr:cNvPr id="5" name="image12.png" title="Imagen">
          <a:extLst>
            <a:ext uri="{FF2B5EF4-FFF2-40B4-BE49-F238E27FC236}">
              <a16:creationId xmlns:a16="http://schemas.microsoft.com/office/drawing/2014/main" id="{00000000-0008-0000-0C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142875</xdr:colOff>
      <xdr:row>15</xdr:row>
      <xdr:rowOff>180975</xdr:rowOff>
    </xdr:from>
    <xdr:ext cx="1209675" cy="657225"/>
    <xdr:pic>
      <xdr:nvPicPr>
        <xdr:cNvPr id="6" name="image18.png" title="Imagen">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200025</xdr:colOff>
      <xdr:row>16</xdr:row>
      <xdr:rowOff>85725</xdr:rowOff>
    </xdr:from>
    <xdr:ext cx="1085850" cy="485775"/>
    <xdr:pic>
      <xdr:nvPicPr>
        <xdr:cNvPr id="7" name="image7.png" title="Imagen">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133350</xdr:colOff>
      <xdr:row>17</xdr:row>
      <xdr:rowOff>152400</xdr:rowOff>
    </xdr:from>
    <xdr:ext cx="1209675" cy="742950"/>
    <xdr:pic>
      <xdr:nvPicPr>
        <xdr:cNvPr id="8" name="image1.png" title="Imagen">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2</xdr:col>
      <xdr:colOff>19050</xdr:colOff>
      <xdr:row>10</xdr:row>
      <xdr:rowOff>104775</xdr:rowOff>
    </xdr:from>
    <xdr:ext cx="1466850" cy="933450"/>
    <xdr:pic>
      <xdr:nvPicPr>
        <xdr:cNvPr id="2" name="image5.png" title="Imagen">
          <a:extLst>
            <a:ext uri="{FF2B5EF4-FFF2-40B4-BE49-F238E27FC236}">
              <a16:creationId xmlns:a16="http://schemas.microsoft.com/office/drawing/2014/main" id="{00000000-0008-0000-0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28575</xdr:colOff>
      <xdr:row>11</xdr:row>
      <xdr:rowOff>847725</xdr:rowOff>
    </xdr:from>
    <xdr:ext cx="1466850" cy="866775"/>
    <xdr:pic>
      <xdr:nvPicPr>
        <xdr:cNvPr id="3" name="image46.png" title="Imagen">
          <a:extLst>
            <a:ext uri="{FF2B5EF4-FFF2-40B4-BE49-F238E27FC236}">
              <a16:creationId xmlns:a16="http://schemas.microsoft.com/office/drawing/2014/main" id="{00000000-0008-0000-0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11</xdr:row>
      <xdr:rowOff>0</xdr:rowOff>
    </xdr:from>
    <xdr:ext cx="733425" cy="847725"/>
    <xdr:pic>
      <xdr:nvPicPr>
        <xdr:cNvPr id="4" name="image6.png">
          <a:extLst>
            <a:ext uri="{FF2B5EF4-FFF2-40B4-BE49-F238E27FC236}">
              <a16:creationId xmlns:a16="http://schemas.microsoft.com/office/drawing/2014/main" id="{00000000-0008-0000-0D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2</xdr:col>
      <xdr:colOff>190500</xdr:colOff>
      <xdr:row>5</xdr:row>
      <xdr:rowOff>371475</xdr:rowOff>
    </xdr:from>
    <xdr:ext cx="1019175" cy="1143000"/>
    <xdr:pic>
      <xdr:nvPicPr>
        <xdr:cNvPr id="2" name="image15.png" title="Imagen">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7</xdr:row>
      <xdr:rowOff>0</xdr:rowOff>
    </xdr:from>
    <xdr:ext cx="1114425" cy="1323975"/>
    <xdr:pic>
      <xdr:nvPicPr>
        <xdr:cNvPr id="3" name="image17.png">
          <a:extLst>
            <a:ext uri="{FF2B5EF4-FFF2-40B4-BE49-F238E27FC236}">
              <a16:creationId xmlns:a16="http://schemas.microsoft.com/office/drawing/2014/main" id="{00000000-0008-0000-0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oneCellAnchor>
    <xdr:from>
      <xdr:col>2</xdr:col>
      <xdr:colOff>152400</xdr:colOff>
      <xdr:row>6</xdr:row>
      <xdr:rowOff>47625</xdr:rowOff>
    </xdr:from>
    <xdr:ext cx="1076325" cy="981075"/>
    <xdr:pic>
      <xdr:nvPicPr>
        <xdr:cNvPr id="2" name="image26.png" title="Imagen">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152400</xdr:colOff>
      <xdr:row>6</xdr:row>
      <xdr:rowOff>1133475</xdr:rowOff>
    </xdr:from>
    <xdr:ext cx="1076325" cy="838200"/>
    <xdr:pic>
      <xdr:nvPicPr>
        <xdr:cNvPr id="3" name="image43.png" title="Imagen">
          <a:extLst>
            <a:ext uri="{FF2B5EF4-FFF2-40B4-BE49-F238E27FC236}">
              <a16:creationId xmlns:a16="http://schemas.microsoft.com/office/drawing/2014/main" id="{00000000-0008-0000-0F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oneCellAnchor>
    <xdr:from>
      <xdr:col>1</xdr:col>
      <xdr:colOff>4572000</xdr:colOff>
      <xdr:row>6</xdr:row>
      <xdr:rowOff>2486025</xdr:rowOff>
    </xdr:from>
    <xdr:ext cx="1447800" cy="981075"/>
    <xdr:pic>
      <xdr:nvPicPr>
        <xdr:cNvPr id="2" name="image24.png" title="Imagen">
          <a:extLst>
            <a:ext uri="{FF2B5EF4-FFF2-40B4-BE49-F238E27FC236}">
              <a16:creationId xmlns:a16="http://schemas.microsoft.com/office/drawing/2014/main" id="{00000000-0008-0000-1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6</xdr:row>
      <xdr:rowOff>0</xdr:rowOff>
    </xdr:from>
    <xdr:ext cx="1209675" cy="2486025"/>
    <xdr:pic>
      <xdr:nvPicPr>
        <xdr:cNvPr id="3" name="image31.png">
          <a:extLst>
            <a:ext uri="{FF2B5EF4-FFF2-40B4-BE49-F238E27FC236}">
              <a16:creationId xmlns:a16="http://schemas.microsoft.com/office/drawing/2014/main" id="{00000000-0008-0000-1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dr:oneCellAnchor>
    <xdr:from>
      <xdr:col>2</xdr:col>
      <xdr:colOff>0</xdr:colOff>
      <xdr:row>7</xdr:row>
      <xdr:rowOff>0</xdr:rowOff>
    </xdr:from>
    <xdr:ext cx="1390650" cy="1133475"/>
    <xdr:pic>
      <xdr:nvPicPr>
        <xdr:cNvPr id="2" name="image49.png">
          <a:extLst>
            <a:ext uri="{FF2B5EF4-FFF2-40B4-BE49-F238E27FC236}">
              <a16:creationId xmlns:a16="http://schemas.microsoft.com/office/drawing/2014/main" id="{00000000-0008-0000-1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8</xdr:row>
      <xdr:rowOff>0</xdr:rowOff>
    </xdr:from>
    <xdr:ext cx="1466850" cy="847725"/>
    <xdr:pic>
      <xdr:nvPicPr>
        <xdr:cNvPr id="3" name="image29.png">
          <a:extLst>
            <a:ext uri="{FF2B5EF4-FFF2-40B4-BE49-F238E27FC236}">
              <a16:creationId xmlns:a16="http://schemas.microsoft.com/office/drawing/2014/main" id="{00000000-0008-0000-1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dr:oneCellAnchor>
    <xdr:from>
      <xdr:col>2</xdr:col>
      <xdr:colOff>85725</xdr:colOff>
      <xdr:row>7</xdr:row>
      <xdr:rowOff>76200</xdr:rowOff>
    </xdr:from>
    <xdr:ext cx="1295400" cy="981075"/>
    <xdr:pic>
      <xdr:nvPicPr>
        <xdr:cNvPr id="2" name="image35.png" title="Imagen">
          <a:extLst>
            <a:ext uri="{FF2B5EF4-FFF2-40B4-BE49-F238E27FC236}">
              <a16:creationId xmlns:a16="http://schemas.microsoft.com/office/drawing/2014/main" id="{00000000-0008-0000-1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285750</xdr:colOff>
      <xdr:row>7</xdr:row>
      <xdr:rowOff>1143000</xdr:rowOff>
    </xdr:from>
    <xdr:ext cx="990600" cy="790575"/>
    <xdr:pic>
      <xdr:nvPicPr>
        <xdr:cNvPr id="3" name="image44.png" title="Imagen">
          <a:extLst>
            <a:ext uri="{FF2B5EF4-FFF2-40B4-BE49-F238E27FC236}">
              <a16:creationId xmlns:a16="http://schemas.microsoft.com/office/drawing/2014/main" id="{00000000-0008-0000-12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dr:oneCellAnchor>
    <xdr:from>
      <xdr:col>1</xdr:col>
      <xdr:colOff>4572000</xdr:colOff>
      <xdr:row>9</xdr:row>
      <xdr:rowOff>381000</xdr:rowOff>
    </xdr:from>
    <xdr:ext cx="1333500" cy="704850"/>
    <xdr:pic>
      <xdr:nvPicPr>
        <xdr:cNvPr id="2" name="image27.png" title="Imagen">
          <a:extLst>
            <a:ext uri="{FF2B5EF4-FFF2-40B4-BE49-F238E27FC236}">
              <a16:creationId xmlns:a16="http://schemas.microsoft.com/office/drawing/2014/main" id="{00000000-0008-0000-1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11</xdr:row>
      <xdr:rowOff>0</xdr:rowOff>
    </xdr:from>
    <xdr:ext cx="1076325" cy="781050"/>
    <xdr:pic>
      <xdr:nvPicPr>
        <xdr:cNvPr id="3" name="image54.png">
          <a:extLst>
            <a:ext uri="{FF2B5EF4-FFF2-40B4-BE49-F238E27FC236}">
              <a16:creationId xmlns:a16="http://schemas.microsoft.com/office/drawing/2014/main" id="{00000000-0008-0000-1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dr:oneCellAnchor>
    <xdr:from>
      <xdr:col>2</xdr:col>
      <xdr:colOff>0</xdr:colOff>
      <xdr:row>6</xdr:row>
      <xdr:rowOff>0</xdr:rowOff>
    </xdr:from>
    <xdr:ext cx="1133475" cy="838200"/>
    <xdr:pic>
      <xdr:nvPicPr>
        <xdr:cNvPr id="2" name="image25.png">
          <a:extLst>
            <a:ext uri="{FF2B5EF4-FFF2-40B4-BE49-F238E27FC236}">
              <a16:creationId xmlns:a16="http://schemas.microsoft.com/office/drawing/2014/main" id="{00000000-0008-0000-1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7</xdr:row>
      <xdr:rowOff>0</xdr:rowOff>
    </xdr:from>
    <xdr:ext cx="1409700" cy="781050"/>
    <xdr:pic>
      <xdr:nvPicPr>
        <xdr:cNvPr id="3" name="image39.png">
          <a:extLst>
            <a:ext uri="{FF2B5EF4-FFF2-40B4-BE49-F238E27FC236}">
              <a16:creationId xmlns:a16="http://schemas.microsoft.com/office/drawing/2014/main" id="{00000000-0008-0000-1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8</xdr:row>
      <xdr:rowOff>0</xdr:rowOff>
    </xdr:from>
    <xdr:ext cx="1238250" cy="847725"/>
    <xdr:pic>
      <xdr:nvPicPr>
        <xdr:cNvPr id="4" name="image34.png">
          <a:extLst>
            <a:ext uri="{FF2B5EF4-FFF2-40B4-BE49-F238E27FC236}">
              <a16:creationId xmlns:a16="http://schemas.microsoft.com/office/drawing/2014/main" id="{00000000-0008-0000-1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0</xdr:colOff>
      <xdr:row>9</xdr:row>
      <xdr:rowOff>0</xdr:rowOff>
    </xdr:from>
    <xdr:ext cx="666750" cy="933450"/>
    <xdr:pic>
      <xdr:nvPicPr>
        <xdr:cNvPr id="5" name="image37.png">
          <a:extLst>
            <a:ext uri="{FF2B5EF4-FFF2-40B4-BE49-F238E27FC236}">
              <a16:creationId xmlns:a16="http://schemas.microsoft.com/office/drawing/2014/main" id="{00000000-0008-0000-1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0</xdr:colOff>
      <xdr:row>10</xdr:row>
      <xdr:rowOff>0</xdr:rowOff>
    </xdr:from>
    <xdr:ext cx="742950" cy="847725"/>
    <xdr:pic>
      <xdr:nvPicPr>
        <xdr:cNvPr id="6" name="image51.pn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dr:oneCellAnchor>
    <xdr:from>
      <xdr:col>2</xdr:col>
      <xdr:colOff>333375</xdr:colOff>
      <xdr:row>11</xdr:row>
      <xdr:rowOff>66675</xdr:rowOff>
    </xdr:from>
    <xdr:ext cx="809625" cy="742950"/>
    <xdr:pic>
      <xdr:nvPicPr>
        <xdr:cNvPr id="2" name="image47.jpg">
          <a:extLst>
            <a:ext uri="{FF2B5EF4-FFF2-40B4-BE49-F238E27FC236}">
              <a16:creationId xmlns:a16="http://schemas.microsoft.com/office/drawing/2014/main" id="{00000000-0008-0000-1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12</xdr:row>
      <xdr:rowOff>47625</xdr:rowOff>
    </xdr:from>
    <xdr:ext cx="1457325" cy="742950"/>
    <xdr:pic>
      <xdr:nvPicPr>
        <xdr:cNvPr id="3" name="image41.jpg">
          <a:extLst>
            <a:ext uri="{FF2B5EF4-FFF2-40B4-BE49-F238E27FC236}">
              <a16:creationId xmlns:a16="http://schemas.microsoft.com/office/drawing/2014/main" id="{00000000-0008-0000-1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dr:oneCellAnchor>
    <xdr:from>
      <xdr:col>2</xdr:col>
      <xdr:colOff>0</xdr:colOff>
      <xdr:row>11</xdr:row>
      <xdr:rowOff>0</xdr:rowOff>
    </xdr:from>
    <xdr:ext cx="1123950" cy="847725"/>
    <xdr:pic>
      <xdr:nvPicPr>
        <xdr:cNvPr id="2" name="image59.png">
          <a:extLst>
            <a:ext uri="{FF2B5EF4-FFF2-40B4-BE49-F238E27FC236}">
              <a16:creationId xmlns:a16="http://schemas.microsoft.com/office/drawing/2014/main" id="{00000000-0008-0000-1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4.xml><?xml version="1.0" encoding="utf-8"?>
<xdr:wsDr xmlns:xdr="http://schemas.openxmlformats.org/drawingml/2006/spreadsheetDrawing" xmlns:a="http://schemas.openxmlformats.org/drawingml/2006/main">
  <xdr:oneCellAnchor>
    <xdr:from>
      <xdr:col>2</xdr:col>
      <xdr:colOff>285750</xdr:colOff>
      <xdr:row>11</xdr:row>
      <xdr:rowOff>47625</xdr:rowOff>
    </xdr:from>
    <xdr:ext cx="828675" cy="742950"/>
    <xdr:pic>
      <xdr:nvPicPr>
        <xdr:cNvPr id="2" name="image99.jpg">
          <a:extLst>
            <a:ext uri="{FF2B5EF4-FFF2-40B4-BE49-F238E27FC236}">
              <a16:creationId xmlns:a16="http://schemas.microsoft.com/office/drawing/2014/main" id="{00000000-0008-0000-1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5.xml><?xml version="1.0" encoding="utf-8"?>
<xdr:wsDr xmlns:xdr="http://schemas.openxmlformats.org/drawingml/2006/spreadsheetDrawing" xmlns:a="http://schemas.openxmlformats.org/drawingml/2006/main">
  <xdr:oneCellAnchor>
    <xdr:from>
      <xdr:col>2</xdr:col>
      <xdr:colOff>200025</xdr:colOff>
      <xdr:row>10</xdr:row>
      <xdr:rowOff>352425</xdr:rowOff>
    </xdr:from>
    <xdr:ext cx="895350" cy="400050"/>
    <xdr:pic>
      <xdr:nvPicPr>
        <xdr:cNvPr id="2" name="image40.jpg">
          <a:extLst>
            <a:ext uri="{FF2B5EF4-FFF2-40B4-BE49-F238E27FC236}">
              <a16:creationId xmlns:a16="http://schemas.microsoft.com/office/drawing/2014/main" id="{00000000-0008-0000-1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12</xdr:row>
      <xdr:rowOff>0</xdr:rowOff>
    </xdr:from>
    <xdr:ext cx="1571625" cy="809625"/>
    <xdr:pic>
      <xdr:nvPicPr>
        <xdr:cNvPr id="3" name="image50.png">
          <a:extLst>
            <a:ext uri="{FF2B5EF4-FFF2-40B4-BE49-F238E27FC236}">
              <a16:creationId xmlns:a16="http://schemas.microsoft.com/office/drawing/2014/main" id="{00000000-0008-0000-1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6.xml><?xml version="1.0" encoding="utf-8"?>
<xdr:wsDr xmlns:xdr="http://schemas.openxmlformats.org/drawingml/2006/spreadsheetDrawing" xmlns:a="http://schemas.openxmlformats.org/drawingml/2006/main">
  <xdr:oneCellAnchor>
    <xdr:from>
      <xdr:col>2</xdr:col>
      <xdr:colOff>371475</xdr:colOff>
      <xdr:row>11</xdr:row>
      <xdr:rowOff>19050</xdr:rowOff>
    </xdr:from>
    <xdr:ext cx="790575" cy="742950"/>
    <xdr:pic>
      <xdr:nvPicPr>
        <xdr:cNvPr id="2" name="image93.jpg">
          <a:extLst>
            <a:ext uri="{FF2B5EF4-FFF2-40B4-BE49-F238E27FC236}">
              <a16:creationId xmlns:a16="http://schemas.microsoft.com/office/drawing/2014/main" id="{00000000-0008-0000-1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95250</xdr:colOff>
      <xdr:row>12</xdr:row>
      <xdr:rowOff>19050</xdr:rowOff>
    </xdr:from>
    <xdr:ext cx="1428750" cy="742950"/>
    <xdr:pic>
      <xdr:nvPicPr>
        <xdr:cNvPr id="3" name="image98.jpg">
          <a:extLst>
            <a:ext uri="{FF2B5EF4-FFF2-40B4-BE49-F238E27FC236}">
              <a16:creationId xmlns:a16="http://schemas.microsoft.com/office/drawing/2014/main" id="{00000000-0008-0000-1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27.xml><?xml version="1.0" encoding="utf-8"?>
<xdr:wsDr xmlns:xdr="http://schemas.openxmlformats.org/drawingml/2006/spreadsheetDrawing" xmlns:a="http://schemas.openxmlformats.org/drawingml/2006/main">
  <xdr:oneCellAnchor>
    <xdr:from>
      <xdr:col>2</xdr:col>
      <xdr:colOff>0</xdr:colOff>
      <xdr:row>4</xdr:row>
      <xdr:rowOff>0</xdr:rowOff>
    </xdr:from>
    <xdr:ext cx="1257300" cy="847725"/>
    <xdr:pic>
      <xdr:nvPicPr>
        <xdr:cNvPr id="2" name="image96.png">
          <a:extLst>
            <a:ext uri="{FF2B5EF4-FFF2-40B4-BE49-F238E27FC236}">
              <a16:creationId xmlns:a16="http://schemas.microsoft.com/office/drawing/2014/main" id="{00000000-0008-0000-1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8.xml><?xml version="1.0" encoding="utf-8"?>
<xdr:wsDr xmlns:xdr="http://schemas.openxmlformats.org/drawingml/2006/spreadsheetDrawing" xmlns:a="http://schemas.openxmlformats.org/drawingml/2006/main">
  <xdr:oneCellAnchor>
    <xdr:from>
      <xdr:col>2</xdr:col>
      <xdr:colOff>47625</xdr:colOff>
      <xdr:row>11</xdr:row>
      <xdr:rowOff>66675</xdr:rowOff>
    </xdr:from>
    <xdr:ext cx="1457325" cy="742950"/>
    <xdr:pic>
      <xdr:nvPicPr>
        <xdr:cNvPr id="2" name="image57.jpg">
          <a:extLst>
            <a:ext uri="{FF2B5EF4-FFF2-40B4-BE49-F238E27FC236}">
              <a16:creationId xmlns:a16="http://schemas.microsoft.com/office/drawing/2014/main" id="{00000000-0008-0000-1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9.xml><?xml version="1.0" encoding="utf-8"?>
<xdr:wsDr xmlns:xdr="http://schemas.openxmlformats.org/drawingml/2006/spreadsheetDrawing" xmlns:a="http://schemas.openxmlformats.org/drawingml/2006/main">
  <xdr:oneCellAnchor>
    <xdr:from>
      <xdr:col>2</xdr:col>
      <xdr:colOff>133350</xdr:colOff>
      <xdr:row>11</xdr:row>
      <xdr:rowOff>47625</xdr:rowOff>
    </xdr:from>
    <xdr:ext cx="1343025" cy="742950"/>
    <xdr:pic>
      <xdr:nvPicPr>
        <xdr:cNvPr id="2" name="image45.jpg">
          <a:extLst>
            <a:ext uri="{FF2B5EF4-FFF2-40B4-BE49-F238E27FC236}">
              <a16:creationId xmlns:a16="http://schemas.microsoft.com/office/drawing/2014/main" id="{00000000-0008-0000-1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0.xml><?xml version="1.0" encoding="utf-8"?>
<xdr:wsDr xmlns:xdr="http://schemas.openxmlformats.org/drawingml/2006/spreadsheetDrawing" xmlns:a="http://schemas.openxmlformats.org/drawingml/2006/main">
  <xdr:oneCellAnchor>
    <xdr:from>
      <xdr:col>2</xdr:col>
      <xdr:colOff>1028700</xdr:colOff>
      <xdr:row>11</xdr:row>
      <xdr:rowOff>95250</xdr:rowOff>
    </xdr:from>
    <xdr:ext cx="419100" cy="219075"/>
    <xdr:sp macro="" textlink="">
      <xdr:nvSpPr>
        <xdr:cNvPr id="29" name="Shape 29">
          <a:extLst>
            <a:ext uri="{FF2B5EF4-FFF2-40B4-BE49-F238E27FC236}">
              <a16:creationId xmlns:a16="http://schemas.microsoft.com/office/drawing/2014/main" id="{00000000-0008-0000-1F00-00001D000000}"/>
            </a:ext>
          </a:extLst>
        </xdr:cNvPr>
        <xdr:cNvSpPr/>
      </xdr:nvSpPr>
      <xdr:spPr>
        <a:xfrm rot="10800000">
          <a:off x="5141213" y="3675225"/>
          <a:ext cx="409575" cy="209550"/>
        </a:xfrm>
        <a:prstGeom prst="curvedUpArrow">
          <a:avLst>
            <a:gd name="adj1" fmla="val 25000"/>
            <a:gd name="adj2" fmla="val 50000"/>
            <a:gd name="adj3" fmla="val 25000"/>
          </a:avLst>
        </a:prstGeom>
        <a:solidFill>
          <a:srgbClr val="FF0000"/>
        </a:solidFill>
        <a:ln w="12700" cap="flat" cmpd="sng">
          <a:solidFill>
            <a:srgbClr val="41719C"/>
          </a:solidFill>
          <a:prstDash val="solid"/>
          <a:miter lim="800000"/>
          <a:headEnd type="none" w="sm" len="sm"/>
          <a:tailEnd type="none" w="sm" len="sm"/>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clientData fLocksWithSheet="0"/>
  </xdr:oneCellAnchor>
  <xdr:oneCellAnchor>
    <xdr:from>
      <xdr:col>2</xdr:col>
      <xdr:colOff>142875</xdr:colOff>
      <xdr:row>11</xdr:row>
      <xdr:rowOff>85725</xdr:rowOff>
    </xdr:from>
    <xdr:ext cx="1343025" cy="742950"/>
    <xdr:pic>
      <xdr:nvPicPr>
        <xdr:cNvPr id="2" name="image45.jpg">
          <a:extLst>
            <a:ext uri="{FF2B5EF4-FFF2-40B4-BE49-F238E27FC236}">
              <a16:creationId xmlns:a16="http://schemas.microsoft.com/office/drawing/2014/main" id="{00000000-0008-0000-1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1.xml><?xml version="1.0" encoding="utf-8"?>
<xdr:wsDr xmlns:xdr="http://schemas.openxmlformats.org/drawingml/2006/spreadsheetDrawing" xmlns:a="http://schemas.openxmlformats.org/drawingml/2006/main">
  <xdr:oneCellAnchor>
    <xdr:from>
      <xdr:col>2</xdr:col>
      <xdr:colOff>0</xdr:colOff>
      <xdr:row>11</xdr:row>
      <xdr:rowOff>0</xdr:rowOff>
    </xdr:from>
    <xdr:ext cx="1200150" cy="847725"/>
    <xdr:pic>
      <xdr:nvPicPr>
        <xdr:cNvPr id="2" name="image95.png">
          <a:extLst>
            <a:ext uri="{FF2B5EF4-FFF2-40B4-BE49-F238E27FC236}">
              <a16:creationId xmlns:a16="http://schemas.microsoft.com/office/drawing/2014/main" id="{00000000-0008-0000-2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0</xdr:colOff>
      <xdr:row>11</xdr:row>
      <xdr:rowOff>0</xdr:rowOff>
    </xdr:from>
    <xdr:ext cx="1171575" cy="847725"/>
    <xdr:pic>
      <xdr:nvPicPr>
        <xdr:cNvPr id="3" name="image55.png">
          <a:extLst>
            <a:ext uri="{FF2B5EF4-FFF2-40B4-BE49-F238E27FC236}">
              <a16:creationId xmlns:a16="http://schemas.microsoft.com/office/drawing/2014/main" id="{00000000-0008-0000-2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4</xdr:col>
      <xdr:colOff>0</xdr:colOff>
      <xdr:row>11</xdr:row>
      <xdr:rowOff>0</xdr:rowOff>
    </xdr:from>
    <xdr:ext cx="1171575" cy="847725"/>
    <xdr:pic>
      <xdr:nvPicPr>
        <xdr:cNvPr id="4" name="image60.png">
          <a:extLst>
            <a:ext uri="{FF2B5EF4-FFF2-40B4-BE49-F238E27FC236}">
              <a16:creationId xmlns:a16="http://schemas.microsoft.com/office/drawing/2014/main" id="{00000000-0008-0000-2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0</xdr:colOff>
      <xdr:row>12</xdr:row>
      <xdr:rowOff>0</xdr:rowOff>
    </xdr:from>
    <xdr:ext cx="742950" cy="847725"/>
    <xdr:pic>
      <xdr:nvPicPr>
        <xdr:cNvPr id="5" name="image61.png">
          <a:extLst>
            <a:ext uri="{FF2B5EF4-FFF2-40B4-BE49-F238E27FC236}">
              <a16:creationId xmlns:a16="http://schemas.microsoft.com/office/drawing/2014/main" id="{00000000-0008-0000-2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3</xdr:col>
      <xdr:colOff>0</xdr:colOff>
      <xdr:row>12</xdr:row>
      <xdr:rowOff>0</xdr:rowOff>
    </xdr:from>
    <xdr:ext cx="752475" cy="847725"/>
    <xdr:pic>
      <xdr:nvPicPr>
        <xdr:cNvPr id="6" name="image74.png">
          <a:extLst>
            <a:ext uri="{FF2B5EF4-FFF2-40B4-BE49-F238E27FC236}">
              <a16:creationId xmlns:a16="http://schemas.microsoft.com/office/drawing/2014/main" id="{00000000-0008-0000-2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32.xml><?xml version="1.0" encoding="utf-8"?>
<xdr:wsDr xmlns:xdr="http://schemas.openxmlformats.org/drawingml/2006/spreadsheetDrawing" xmlns:a="http://schemas.openxmlformats.org/drawingml/2006/main">
  <xdr:oneCellAnchor>
    <xdr:from>
      <xdr:col>2</xdr:col>
      <xdr:colOff>0</xdr:colOff>
      <xdr:row>12</xdr:row>
      <xdr:rowOff>0</xdr:rowOff>
    </xdr:from>
    <xdr:ext cx="923925" cy="847725"/>
    <xdr:pic>
      <xdr:nvPicPr>
        <xdr:cNvPr id="2" name="image71.png">
          <a:extLst>
            <a:ext uri="{FF2B5EF4-FFF2-40B4-BE49-F238E27FC236}">
              <a16:creationId xmlns:a16="http://schemas.microsoft.com/office/drawing/2014/main" id="{00000000-0008-0000-2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3.xml><?xml version="1.0" encoding="utf-8"?>
<xdr:wsDr xmlns:xdr="http://schemas.openxmlformats.org/drawingml/2006/spreadsheetDrawing" xmlns:a="http://schemas.openxmlformats.org/drawingml/2006/main">
  <xdr:oneCellAnchor>
    <xdr:from>
      <xdr:col>2</xdr:col>
      <xdr:colOff>323850</xdr:colOff>
      <xdr:row>4</xdr:row>
      <xdr:rowOff>66675</xdr:rowOff>
    </xdr:from>
    <xdr:ext cx="828675" cy="742950"/>
    <xdr:pic>
      <xdr:nvPicPr>
        <xdr:cNvPr id="2" name="image58.jpg">
          <a:extLst>
            <a:ext uri="{FF2B5EF4-FFF2-40B4-BE49-F238E27FC236}">
              <a16:creationId xmlns:a16="http://schemas.microsoft.com/office/drawing/2014/main" id="{00000000-0008-0000-2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4.xml><?xml version="1.0" encoding="utf-8"?>
<xdr:wsDr xmlns:xdr="http://schemas.openxmlformats.org/drawingml/2006/spreadsheetDrawing" xmlns:a="http://schemas.openxmlformats.org/drawingml/2006/main">
  <xdr:oneCellAnchor>
    <xdr:from>
      <xdr:col>1</xdr:col>
      <xdr:colOff>4552950</xdr:colOff>
      <xdr:row>4</xdr:row>
      <xdr:rowOff>123825</xdr:rowOff>
    </xdr:from>
    <xdr:ext cx="1543050" cy="581025"/>
    <xdr:pic>
      <xdr:nvPicPr>
        <xdr:cNvPr id="2" name="image76.jpg">
          <a:extLst>
            <a:ext uri="{FF2B5EF4-FFF2-40B4-BE49-F238E27FC236}">
              <a16:creationId xmlns:a16="http://schemas.microsoft.com/office/drawing/2014/main" id="{00000000-0008-0000-2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5.xml><?xml version="1.0" encoding="utf-8"?>
<xdr:wsDr xmlns:xdr="http://schemas.openxmlformats.org/drawingml/2006/spreadsheetDrawing" xmlns:a="http://schemas.openxmlformats.org/drawingml/2006/main">
  <xdr:oneCellAnchor>
    <xdr:from>
      <xdr:col>2</xdr:col>
      <xdr:colOff>304800</xdr:colOff>
      <xdr:row>12</xdr:row>
      <xdr:rowOff>352425</xdr:rowOff>
    </xdr:from>
    <xdr:ext cx="876300" cy="1762125"/>
    <xdr:grpSp>
      <xdr:nvGrpSpPr>
        <xdr:cNvPr id="2" name="Shape 2">
          <a:extLst>
            <a:ext uri="{FF2B5EF4-FFF2-40B4-BE49-F238E27FC236}">
              <a16:creationId xmlns:a16="http://schemas.microsoft.com/office/drawing/2014/main" id="{00000000-0008-0000-2500-000002000000}"/>
            </a:ext>
          </a:extLst>
        </xdr:cNvPr>
        <xdr:cNvGrpSpPr/>
      </xdr:nvGrpSpPr>
      <xdr:grpSpPr>
        <a:xfrm>
          <a:off x="4914900" y="4371975"/>
          <a:ext cx="876300" cy="1762125"/>
          <a:chOff x="4907850" y="2898938"/>
          <a:chExt cx="876300" cy="1762125"/>
        </a:xfrm>
      </xdr:grpSpPr>
      <xdr:grpSp>
        <xdr:nvGrpSpPr>
          <xdr:cNvPr id="30" name="Shape 30">
            <a:extLst>
              <a:ext uri="{FF2B5EF4-FFF2-40B4-BE49-F238E27FC236}">
                <a16:creationId xmlns:a16="http://schemas.microsoft.com/office/drawing/2014/main" id="{00000000-0008-0000-2500-00001E000000}"/>
              </a:ext>
            </a:extLst>
          </xdr:cNvPr>
          <xdr:cNvGrpSpPr/>
        </xdr:nvGrpSpPr>
        <xdr:grpSpPr>
          <a:xfrm>
            <a:off x="4907850" y="2898938"/>
            <a:ext cx="876300" cy="1762125"/>
            <a:chOff x="4907850" y="2898938"/>
            <a:chExt cx="876300" cy="1762125"/>
          </a:xfrm>
        </xdr:grpSpPr>
        <xdr:sp macro="" textlink="">
          <xdr:nvSpPr>
            <xdr:cNvPr id="5" name="Shape 5">
              <a:extLst>
                <a:ext uri="{FF2B5EF4-FFF2-40B4-BE49-F238E27FC236}">
                  <a16:creationId xmlns:a16="http://schemas.microsoft.com/office/drawing/2014/main" id="{00000000-0008-0000-2500-000005000000}"/>
                </a:ext>
              </a:extLst>
            </xdr:cNvPr>
            <xdr:cNvSpPr/>
          </xdr:nvSpPr>
          <xdr:spPr>
            <a:xfrm>
              <a:off x="4907850" y="2898938"/>
              <a:ext cx="876300" cy="17621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31" name="Shape 31">
              <a:extLst>
                <a:ext uri="{FF2B5EF4-FFF2-40B4-BE49-F238E27FC236}">
                  <a16:creationId xmlns:a16="http://schemas.microsoft.com/office/drawing/2014/main" id="{00000000-0008-0000-2500-00001F000000}"/>
                </a:ext>
              </a:extLst>
            </xdr:cNvPr>
            <xdr:cNvGrpSpPr/>
          </xdr:nvGrpSpPr>
          <xdr:grpSpPr>
            <a:xfrm>
              <a:off x="4907850" y="2898938"/>
              <a:ext cx="876300" cy="1762125"/>
              <a:chOff x="4907850" y="2898938"/>
              <a:chExt cx="876300" cy="1762125"/>
            </a:xfrm>
          </xdr:grpSpPr>
          <xdr:sp macro="" textlink="">
            <xdr:nvSpPr>
              <xdr:cNvPr id="32" name="Shape 32">
                <a:extLst>
                  <a:ext uri="{FF2B5EF4-FFF2-40B4-BE49-F238E27FC236}">
                    <a16:creationId xmlns:a16="http://schemas.microsoft.com/office/drawing/2014/main" id="{00000000-0008-0000-2500-000020000000}"/>
                  </a:ext>
                </a:extLst>
              </xdr:cNvPr>
              <xdr:cNvSpPr/>
            </xdr:nvSpPr>
            <xdr:spPr>
              <a:xfrm>
                <a:off x="4907850" y="2898938"/>
                <a:ext cx="876300" cy="17621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33" name="Shape 33">
                <a:extLst>
                  <a:ext uri="{FF2B5EF4-FFF2-40B4-BE49-F238E27FC236}">
                    <a16:creationId xmlns:a16="http://schemas.microsoft.com/office/drawing/2014/main" id="{00000000-0008-0000-2500-000021000000}"/>
                  </a:ext>
                </a:extLst>
              </xdr:cNvPr>
              <xdr:cNvGrpSpPr/>
            </xdr:nvGrpSpPr>
            <xdr:grpSpPr>
              <a:xfrm>
                <a:off x="4907850" y="2898938"/>
                <a:ext cx="876300" cy="1762125"/>
                <a:chOff x="4907850" y="2898938"/>
                <a:chExt cx="876300" cy="1762125"/>
              </a:xfrm>
            </xdr:grpSpPr>
            <xdr:sp macro="" textlink="">
              <xdr:nvSpPr>
                <xdr:cNvPr id="34" name="Shape 34">
                  <a:extLst>
                    <a:ext uri="{FF2B5EF4-FFF2-40B4-BE49-F238E27FC236}">
                      <a16:creationId xmlns:a16="http://schemas.microsoft.com/office/drawing/2014/main" id="{00000000-0008-0000-2500-000022000000}"/>
                    </a:ext>
                  </a:extLst>
                </xdr:cNvPr>
                <xdr:cNvSpPr/>
              </xdr:nvSpPr>
              <xdr:spPr>
                <a:xfrm>
                  <a:off x="4907850" y="2898938"/>
                  <a:ext cx="876300" cy="17621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35" name="Shape 35">
                  <a:extLst>
                    <a:ext uri="{FF2B5EF4-FFF2-40B4-BE49-F238E27FC236}">
                      <a16:creationId xmlns:a16="http://schemas.microsoft.com/office/drawing/2014/main" id="{00000000-0008-0000-2500-000023000000}"/>
                    </a:ext>
                  </a:extLst>
                </xdr:cNvPr>
                <xdr:cNvGrpSpPr/>
              </xdr:nvGrpSpPr>
              <xdr:grpSpPr>
                <a:xfrm>
                  <a:off x="4907850" y="2898938"/>
                  <a:ext cx="876300" cy="1762125"/>
                  <a:chOff x="4907141" y="2898938"/>
                  <a:chExt cx="876300" cy="1762125"/>
                </a:xfrm>
              </xdr:grpSpPr>
              <xdr:sp macro="" textlink="">
                <xdr:nvSpPr>
                  <xdr:cNvPr id="36" name="Shape 36">
                    <a:extLst>
                      <a:ext uri="{FF2B5EF4-FFF2-40B4-BE49-F238E27FC236}">
                        <a16:creationId xmlns:a16="http://schemas.microsoft.com/office/drawing/2014/main" id="{00000000-0008-0000-2500-000024000000}"/>
                      </a:ext>
                    </a:extLst>
                  </xdr:cNvPr>
                  <xdr:cNvSpPr/>
                </xdr:nvSpPr>
                <xdr:spPr>
                  <a:xfrm>
                    <a:off x="4907141" y="2898938"/>
                    <a:ext cx="876300" cy="17621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37" name="Shape 37">
                    <a:extLst>
                      <a:ext uri="{FF2B5EF4-FFF2-40B4-BE49-F238E27FC236}">
                        <a16:creationId xmlns:a16="http://schemas.microsoft.com/office/drawing/2014/main" id="{00000000-0008-0000-2500-000025000000}"/>
                      </a:ext>
                    </a:extLst>
                  </xdr:cNvPr>
                  <xdr:cNvGrpSpPr/>
                </xdr:nvGrpSpPr>
                <xdr:grpSpPr>
                  <a:xfrm>
                    <a:off x="4907141" y="2898938"/>
                    <a:ext cx="876300" cy="1762125"/>
                    <a:chOff x="8829" y="8155"/>
                    <a:chExt cx="1236" cy="2770"/>
                  </a:xfrm>
                </xdr:grpSpPr>
                <xdr:sp macro="" textlink="">
                  <xdr:nvSpPr>
                    <xdr:cNvPr id="38" name="Shape 38">
                      <a:extLst>
                        <a:ext uri="{FF2B5EF4-FFF2-40B4-BE49-F238E27FC236}">
                          <a16:creationId xmlns:a16="http://schemas.microsoft.com/office/drawing/2014/main" id="{00000000-0008-0000-2500-000026000000}"/>
                        </a:ext>
                      </a:extLst>
                    </xdr:cNvPr>
                    <xdr:cNvSpPr/>
                  </xdr:nvSpPr>
                  <xdr:spPr>
                    <a:xfrm>
                      <a:off x="8830" y="8155"/>
                      <a:ext cx="1225" cy="27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39" name="Shape 39">
                      <a:extLst>
                        <a:ext uri="{FF2B5EF4-FFF2-40B4-BE49-F238E27FC236}">
                          <a16:creationId xmlns:a16="http://schemas.microsoft.com/office/drawing/2014/main" id="{00000000-0008-0000-2500-000027000000}"/>
                        </a:ext>
                      </a:extLst>
                    </xdr:cNvPr>
                    <xdr:cNvPicPr preferRelativeResize="0"/>
                  </xdr:nvPicPr>
                  <xdr:blipFill rotWithShape="1">
                    <a:blip xmlns:r="http://schemas.openxmlformats.org/officeDocument/2006/relationships" r:embed="rId1">
                      <a:alphaModFix/>
                    </a:blip>
                    <a:srcRect/>
                    <a:stretch/>
                  </xdr:blipFill>
                  <xdr:spPr>
                    <a:xfrm>
                      <a:off x="8887" y="8155"/>
                      <a:ext cx="1121" cy="1512"/>
                    </a:xfrm>
                    <a:prstGeom prst="rect">
                      <a:avLst/>
                    </a:prstGeom>
                    <a:noFill/>
                    <a:ln>
                      <a:noFill/>
                    </a:ln>
                  </xdr:spPr>
                </xdr:pic>
                <xdr:pic>
                  <xdr:nvPicPr>
                    <xdr:cNvPr id="40" name="Shape 40">
                      <a:extLst>
                        <a:ext uri="{FF2B5EF4-FFF2-40B4-BE49-F238E27FC236}">
                          <a16:creationId xmlns:a16="http://schemas.microsoft.com/office/drawing/2014/main" id="{00000000-0008-0000-2500-000028000000}"/>
                        </a:ext>
                      </a:extLst>
                    </xdr:cNvPr>
                    <xdr:cNvPicPr preferRelativeResize="0"/>
                  </xdr:nvPicPr>
                  <xdr:blipFill rotWithShape="1">
                    <a:blip xmlns:r="http://schemas.openxmlformats.org/officeDocument/2006/relationships" r:embed="rId2">
                      <a:alphaModFix/>
                    </a:blip>
                    <a:srcRect/>
                    <a:stretch/>
                  </xdr:blipFill>
                  <xdr:spPr>
                    <a:xfrm>
                      <a:off x="8829" y="9674"/>
                      <a:ext cx="1236" cy="1251"/>
                    </a:xfrm>
                    <a:prstGeom prst="rect">
                      <a:avLst/>
                    </a:prstGeom>
                    <a:noFill/>
                    <a:ln>
                      <a:noFill/>
                    </a:ln>
                  </xdr:spPr>
                </xdr:pic>
              </xdr:grpSp>
            </xdr:grpSp>
          </xdr:grpSp>
        </xdr:grpSp>
      </xdr:grpSp>
    </xdr:grpSp>
    <xdr:clientData fLocksWithSheet="0"/>
  </xdr:oneCellAnchor>
  <xdr:oneCellAnchor>
    <xdr:from>
      <xdr:col>2</xdr:col>
      <xdr:colOff>390525</xdr:colOff>
      <xdr:row>15</xdr:row>
      <xdr:rowOff>38100</xdr:rowOff>
    </xdr:from>
    <xdr:ext cx="542925" cy="742950"/>
    <xdr:pic>
      <xdr:nvPicPr>
        <xdr:cNvPr id="3" name="image104.jpg">
          <a:extLst>
            <a:ext uri="{FF2B5EF4-FFF2-40B4-BE49-F238E27FC236}">
              <a16:creationId xmlns:a16="http://schemas.microsoft.com/office/drawing/2014/main" id="{00000000-0008-0000-2500-000003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36.xml><?xml version="1.0" encoding="utf-8"?>
<xdr:wsDr xmlns:xdr="http://schemas.openxmlformats.org/drawingml/2006/spreadsheetDrawing" xmlns:a="http://schemas.openxmlformats.org/drawingml/2006/main">
  <xdr:oneCellAnchor>
    <xdr:from>
      <xdr:col>2</xdr:col>
      <xdr:colOff>0</xdr:colOff>
      <xdr:row>13</xdr:row>
      <xdr:rowOff>0</xdr:rowOff>
    </xdr:from>
    <xdr:ext cx="1571625" cy="762000"/>
    <xdr:pic>
      <xdr:nvPicPr>
        <xdr:cNvPr id="2" name="image94.jpg">
          <a:extLst>
            <a:ext uri="{FF2B5EF4-FFF2-40B4-BE49-F238E27FC236}">
              <a16:creationId xmlns:a16="http://schemas.microsoft.com/office/drawing/2014/main" id="{00000000-0008-0000-2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14</xdr:row>
      <xdr:rowOff>0</xdr:rowOff>
    </xdr:from>
    <xdr:ext cx="1571625" cy="809625"/>
    <xdr:pic>
      <xdr:nvPicPr>
        <xdr:cNvPr id="3" name="image56.jpg">
          <a:extLst>
            <a:ext uri="{FF2B5EF4-FFF2-40B4-BE49-F238E27FC236}">
              <a16:creationId xmlns:a16="http://schemas.microsoft.com/office/drawing/2014/main" id="{00000000-0008-0000-2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37.xml><?xml version="1.0" encoding="utf-8"?>
<xdr:wsDr xmlns:xdr="http://schemas.openxmlformats.org/drawingml/2006/spreadsheetDrawing" xmlns:a="http://schemas.openxmlformats.org/drawingml/2006/main">
  <xdr:oneCellAnchor>
    <xdr:from>
      <xdr:col>2</xdr:col>
      <xdr:colOff>419100</xdr:colOff>
      <xdr:row>14</xdr:row>
      <xdr:rowOff>95250</xdr:rowOff>
    </xdr:from>
    <xdr:ext cx="657225" cy="742950"/>
    <xdr:pic>
      <xdr:nvPicPr>
        <xdr:cNvPr id="2" name="image68.jpg">
          <a:extLst>
            <a:ext uri="{FF2B5EF4-FFF2-40B4-BE49-F238E27FC236}">
              <a16:creationId xmlns:a16="http://schemas.microsoft.com/office/drawing/2014/main" id="{00000000-0008-0000-2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38.xml><?xml version="1.0" encoding="utf-8"?>
<xdr:wsDr xmlns:xdr="http://schemas.openxmlformats.org/drawingml/2006/spreadsheetDrawing" xmlns:a="http://schemas.openxmlformats.org/drawingml/2006/main">
  <xdr:oneCellAnchor>
    <xdr:from>
      <xdr:col>2</xdr:col>
      <xdr:colOff>47625</xdr:colOff>
      <xdr:row>12</xdr:row>
      <xdr:rowOff>847725</xdr:rowOff>
    </xdr:from>
    <xdr:ext cx="1381125" cy="866775"/>
    <xdr:pic>
      <xdr:nvPicPr>
        <xdr:cNvPr id="2" name="image120.png">
          <a:extLst>
            <a:ext uri="{FF2B5EF4-FFF2-40B4-BE49-F238E27FC236}">
              <a16:creationId xmlns:a16="http://schemas.microsoft.com/office/drawing/2014/main" id="{00000000-0008-0000-2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12</xdr:row>
      <xdr:rowOff>0</xdr:rowOff>
    </xdr:from>
    <xdr:ext cx="1571625" cy="781050"/>
    <xdr:pic>
      <xdr:nvPicPr>
        <xdr:cNvPr id="3" name="image101.png">
          <a:extLst>
            <a:ext uri="{FF2B5EF4-FFF2-40B4-BE49-F238E27FC236}">
              <a16:creationId xmlns:a16="http://schemas.microsoft.com/office/drawing/2014/main" id="{00000000-0008-0000-2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39.xml><?xml version="1.0" encoding="utf-8"?>
<xdr:wsDr xmlns:xdr="http://schemas.openxmlformats.org/drawingml/2006/spreadsheetDrawing" xmlns:a="http://schemas.openxmlformats.org/drawingml/2006/main">
  <xdr:oneCellAnchor>
    <xdr:from>
      <xdr:col>2</xdr:col>
      <xdr:colOff>0</xdr:colOff>
      <xdr:row>12</xdr:row>
      <xdr:rowOff>0</xdr:rowOff>
    </xdr:from>
    <xdr:ext cx="1228725" cy="838200"/>
    <xdr:pic>
      <xdr:nvPicPr>
        <xdr:cNvPr id="2" name="image34.png">
          <a:extLst>
            <a:ext uri="{FF2B5EF4-FFF2-40B4-BE49-F238E27FC236}">
              <a16:creationId xmlns:a16="http://schemas.microsoft.com/office/drawing/2014/main" id="{00000000-0008-0000-2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13</xdr:row>
      <xdr:rowOff>0</xdr:rowOff>
    </xdr:from>
    <xdr:ext cx="847725" cy="847725"/>
    <xdr:pic>
      <xdr:nvPicPr>
        <xdr:cNvPr id="3" name="image102.png">
          <a:extLst>
            <a:ext uri="{FF2B5EF4-FFF2-40B4-BE49-F238E27FC236}">
              <a16:creationId xmlns:a16="http://schemas.microsoft.com/office/drawing/2014/main" id="{00000000-0008-0000-2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14</xdr:row>
      <xdr:rowOff>0</xdr:rowOff>
    </xdr:from>
    <xdr:ext cx="581025" cy="847725"/>
    <xdr:pic>
      <xdr:nvPicPr>
        <xdr:cNvPr id="4" name="image66.png">
          <a:extLst>
            <a:ext uri="{FF2B5EF4-FFF2-40B4-BE49-F238E27FC236}">
              <a16:creationId xmlns:a16="http://schemas.microsoft.com/office/drawing/2014/main" id="{00000000-0008-0000-2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40.xml><?xml version="1.0" encoding="utf-8"?>
<xdr:wsDr xmlns:xdr="http://schemas.openxmlformats.org/drawingml/2006/spreadsheetDrawing" xmlns:a="http://schemas.openxmlformats.org/drawingml/2006/main">
  <xdr:oneCellAnchor>
    <xdr:from>
      <xdr:col>2</xdr:col>
      <xdr:colOff>485775</xdr:colOff>
      <xdr:row>12</xdr:row>
      <xdr:rowOff>47625</xdr:rowOff>
    </xdr:from>
    <xdr:ext cx="619125" cy="742950"/>
    <xdr:pic>
      <xdr:nvPicPr>
        <xdr:cNvPr id="2" name="image53.jpg">
          <a:extLst>
            <a:ext uri="{FF2B5EF4-FFF2-40B4-BE49-F238E27FC236}">
              <a16:creationId xmlns:a16="http://schemas.microsoft.com/office/drawing/2014/main" id="{00000000-0008-0000-2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47625</xdr:colOff>
      <xdr:row>13</xdr:row>
      <xdr:rowOff>180975</xdr:rowOff>
    </xdr:from>
    <xdr:ext cx="1533525" cy="361950"/>
    <xdr:pic>
      <xdr:nvPicPr>
        <xdr:cNvPr id="3" name="image62.jpg">
          <a:extLst>
            <a:ext uri="{FF2B5EF4-FFF2-40B4-BE49-F238E27FC236}">
              <a16:creationId xmlns:a16="http://schemas.microsoft.com/office/drawing/2014/main" id="{00000000-0008-0000-2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161925</xdr:colOff>
      <xdr:row>14</xdr:row>
      <xdr:rowOff>57150</xdr:rowOff>
    </xdr:from>
    <xdr:ext cx="1371600" cy="742950"/>
    <xdr:pic>
      <xdr:nvPicPr>
        <xdr:cNvPr id="4" name="image63.jpg">
          <a:extLst>
            <a:ext uri="{FF2B5EF4-FFF2-40B4-BE49-F238E27FC236}">
              <a16:creationId xmlns:a16="http://schemas.microsoft.com/office/drawing/2014/main" id="{00000000-0008-0000-2A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41.xml><?xml version="1.0" encoding="utf-8"?>
<xdr:wsDr xmlns:xdr="http://schemas.openxmlformats.org/drawingml/2006/spreadsheetDrawing" xmlns:a="http://schemas.openxmlformats.org/drawingml/2006/main">
  <xdr:oneCellAnchor>
    <xdr:from>
      <xdr:col>2</xdr:col>
      <xdr:colOff>133350</xdr:colOff>
      <xdr:row>3</xdr:row>
      <xdr:rowOff>371475</xdr:rowOff>
    </xdr:from>
    <xdr:ext cx="1104900" cy="514350"/>
    <xdr:pic>
      <xdr:nvPicPr>
        <xdr:cNvPr id="2" name="image70.jpg">
          <a:extLst>
            <a:ext uri="{FF2B5EF4-FFF2-40B4-BE49-F238E27FC236}">
              <a16:creationId xmlns:a16="http://schemas.microsoft.com/office/drawing/2014/main" id="{00000000-0008-0000-2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2.xml><?xml version="1.0" encoding="utf-8"?>
<xdr:wsDr xmlns:xdr="http://schemas.openxmlformats.org/drawingml/2006/spreadsheetDrawing" xmlns:a="http://schemas.openxmlformats.org/drawingml/2006/main">
  <xdr:oneCellAnchor>
    <xdr:from>
      <xdr:col>2</xdr:col>
      <xdr:colOff>85725</xdr:colOff>
      <xdr:row>5</xdr:row>
      <xdr:rowOff>47625</xdr:rowOff>
    </xdr:from>
    <xdr:ext cx="1466850" cy="742950"/>
    <xdr:pic>
      <xdr:nvPicPr>
        <xdr:cNvPr id="2" name="image67.jpg">
          <a:extLst>
            <a:ext uri="{FF2B5EF4-FFF2-40B4-BE49-F238E27FC236}">
              <a16:creationId xmlns:a16="http://schemas.microsoft.com/office/drawing/2014/main" id="{00000000-0008-0000-2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3.xml><?xml version="1.0" encoding="utf-8"?>
<xdr:wsDr xmlns:xdr="http://schemas.openxmlformats.org/drawingml/2006/spreadsheetDrawing" xmlns:a="http://schemas.openxmlformats.org/drawingml/2006/main">
  <xdr:oneCellAnchor>
    <xdr:from>
      <xdr:col>2</xdr:col>
      <xdr:colOff>400050</xdr:colOff>
      <xdr:row>6</xdr:row>
      <xdr:rowOff>19050</xdr:rowOff>
    </xdr:from>
    <xdr:ext cx="638175" cy="742950"/>
    <xdr:pic>
      <xdr:nvPicPr>
        <xdr:cNvPr id="2" name="image113.jpg">
          <a:extLst>
            <a:ext uri="{FF2B5EF4-FFF2-40B4-BE49-F238E27FC236}">
              <a16:creationId xmlns:a16="http://schemas.microsoft.com/office/drawing/2014/main" id="{00000000-0008-0000-2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4.xml><?xml version="1.0" encoding="utf-8"?>
<xdr:wsDr xmlns:xdr="http://schemas.openxmlformats.org/drawingml/2006/spreadsheetDrawing" xmlns:a="http://schemas.openxmlformats.org/drawingml/2006/main">
  <xdr:oneCellAnchor>
    <xdr:from>
      <xdr:col>1</xdr:col>
      <xdr:colOff>4562475</xdr:colOff>
      <xdr:row>14</xdr:row>
      <xdr:rowOff>95250</xdr:rowOff>
    </xdr:from>
    <xdr:ext cx="1543050" cy="676275"/>
    <xdr:pic>
      <xdr:nvPicPr>
        <xdr:cNvPr id="2" name="image106.jpg">
          <a:extLst>
            <a:ext uri="{FF2B5EF4-FFF2-40B4-BE49-F238E27FC236}">
              <a16:creationId xmlns:a16="http://schemas.microsoft.com/office/drawing/2014/main" id="{00000000-0008-0000-2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5.xml><?xml version="1.0" encoding="utf-8"?>
<xdr:wsDr xmlns:xdr="http://schemas.openxmlformats.org/drawingml/2006/spreadsheetDrawing" xmlns:a="http://schemas.openxmlformats.org/drawingml/2006/main">
  <xdr:oneCellAnchor>
    <xdr:from>
      <xdr:col>2</xdr:col>
      <xdr:colOff>457200</xdr:colOff>
      <xdr:row>4</xdr:row>
      <xdr:rowOff>47625</xdr:rowOff>
    </xdr:from>
    <xdr:ext cx="857250" cy="742950"/>
    <xdr:pic>
      <xdr:nvPicPr>
        <xdr:cNvPr id="2" name="image69.jpg">
          <a:extLst>
            <a:ext uri="{FF2B5EF4-FFF2-40B4-BE49-F238E27FC236}">
              <a16:creationId xmlns:a16="http://schemas.microsoft.com/office/drawing/2014/main" id="{00000000-0008-0000-2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6.xml><?xml version="1.0" encoding="utf-8"?>
<xdr:wsDr xmlns:xdr="http://schemas.openxmlformats.org/drawingml/2006/spreadsheetDrawing" xmlns:a="http://schemas.openxmlformats.org/drawingml/2006/main">
  <xdr:oneCellAnchor>
    <xdr:from>
      <xdr:col>3</xdr:col>
      <xdr:colOff>266700</xdr:colOff>
      <xdr:row>16</xdr:row>
      <xdr:rowOff>123825</xdr:rowOff>
    </xdr:from>
    <xdr:ext cx="1047750" cy="1562100"/>
    <xdr:grpSp>
      <xdr:nvGrpSpPr>
        <xdr:cNvPr id="2" name="Shape 2">
          <a:extLst>
            <a:ext uri="{FF2B5EF4-FFF2-40B4-BE49-F238E27FC236}">
              <a16:creationId xmlns:a16="http://schemas.microsoft.com/office/drawing/2014/main" id="{00000000-0008-0000-3000-000002000000}"/>
            </a:ext>
          </a:extLst>
        </xdr:cNvPr>
        <xdr:cNvGrpSpPr/>
      </xdr:nvGrpSpPr>
      <xdr:grpSpPr>
        <a:xfrm>
          <a:off x="6153150" y="7610475"/>
          <a:ext cx="1047750" cy="1562100"/>
          <a:chOff x="4822125" y="2998950"/>
          <a:chExt cx="1047750" cy="1562100"/>
        </a:xfrm>
      </xdr:grpSpPr>
      <xdr:grpSp>
        <xdr:nvGrpSpPr>
          <xdr:cNvPr id="41" name="Shape 41">
            <a:extLst>
              <a:ext uri="{FF2B5EF4-FFF2-40B4-BE49-F238E27FC236}">
                <a16:creationId xmlns:a16="http://schemas.microsoft.com/office/drawing/2014/main" id="{00000000-0008-0000-3000-000029000000}"/>
              </a:ext>
            </a:extLst>
          </xdr:cNvPr>
          <xdr:cNvGrpSpPr/>
        </xdr:nvGrpSpPr>
        <xdr:grpSpPr>
          <a:xfrm>
            <a:off x="4822125" y="2998950"/>
            <a:ext cx="1047750" cy="1562100"/>
            <a:chOff x="4822125" y="2998950"/>
            <a:chExt cx="1047750" cy="1562100"/>
          </a:xfrm>
        </xdr:grpSpPr>
        <xdr:sp macro="" textlink="">
          <xdr:nvSpPr>
            <xdr:cNvPr id="5" name="Shape 5">
              <a:extLst>
                <a:ext uri="{FF2B5EF4-FFF2-40B4-BE49-F238E27FC236}">
                  <a16:creationId xmlns:a16="http://schemas.microsoft.com/office/drawing/2014/main" id="{00000000-0008-0000-3000-000005000000}"/>
                </a:ext>
              </a:extLst>
            </xdr:cNvPr>
            <xdr:cNvSpPr/>
          </xdr:nvSpPr>
          <xdr:spPr>
            <a:xfrm>
              <a:off x="4822125" y="2998950"/>
              <a:ext cx="1047750" cy="15621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grpSp>
          <xdr:nvGrpSpPr>
            <xdr:cNvPr id="42" name="Shape 42">
              <a:extLst>
                <a:ext uri="{FF2B5EF4-FFF2-40B4-BE49-F238E27FC236}">
                  <a16:creationId xmlns:a16="http://schemas.microsoft.com/office/drawing/2014/main" id="{00000000-0008-0000-3000-00002A000000}"/>
                </a:ext>
              </a:extLst>
            </xdr:cNvPr>
            <xdr:cNvGrpSpPr/>
          </xdr:nvGrpSpPr>
          <xdr:grpSpPr>
            <a:xfrm>
              <a:off x="4822125" y="2998950"/>
              <a:ext cx="1047750" cy="1562100"/>
              <a:chOff x="4822125" y="2998950"/>
              <a:chExt cx="1047750" cy="1562100"/>
            </a:xfrm>
          </xdr:grpSpPr>
          <xdr:sp macro="" textlink="">
            <xdr:nvSpPr>
              <xdr:cNvPr id="43" name="Shape 43">
                <a:extLst>
                  <a:ext uri="{FF2B5EF4-FFF2-40B4-BE49-F238E27FC236}">
                    <a16:creationId xmlns:a16="http://schemas.microsoft.com/office/drawing/2014/main" id="{00000000-0008-0000-3000-00002B000000}"/>
                  </a:ext>
                </a:extLst>
              </xdr:cNvPr>
              <xdr:cNvSpPr/>
            </xdr:nvSpPr>
            <xdr:spPr>
              <a:xfrm>
                <a:off x="4822125" y="2998950"/>
                <a:ext cx="1047750" cy="15621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44" name="Shape 44">
                <a:extLst>
                  <a:ext uri="{FF2B5EF4-FFF2-40B4-BE49-F238E27FC236}">
                    <a16:creationId xmlns:a16="http://schemas.microsoft.com/office/drawing/2014/main" id="{00000000-0008-0000-3000-00002C000000}"/>
                  </a:ext>
                </a:extLst>
              </xdr:cNvPr>
              <xdr:cNvGrpSpPr/>
            </xdr:nvGrpSpPr>
            <xdr:grpSpPr>
              <a:xfrm>
                <a:off x="4822125" y="2998950"/>
                <a:ext cx="1047750" cy="1562100"/>
                <a:chOff x="4822125" y="2998950"/>
                <a:chExt cx="1047750" cy="1562100"/>
              </a:xfrm>
            </xdr:grpSpPr>
            <xdr:sp macro="" textlink="">
              <xdr:nvSpPr>
                <xdr:cNvPr id="45" name="Shape 45">
                  <a:extLst>
                    <a:ext uri="{FF2B5EF4-FFF2-40B4-BE49-F238E27FC236}">
                      <a16:creationId xmlns:a16="http://schemas.microsoft.com/office/drawing/2014/main" id="{00000000-0008-0000-3000-00002D000000}"/>
                    </a:ext>
                  </a:extLst>
                </xdr:cNvPr>
                <xdr:cNvSpPr/>
              </xdr:nvSpPr>
              <xdr:spPr>
                <a:xfrm>
                  <a:off x="4822125" y="2998950"/>
                  <a:ext cx="1047750" cy="15621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46" name="Shape 46">
                  <a:extLst>
                    <a:ext uri="{FF2B5EF4-FFF2-40B4-BE49-F238E27FC236}">
                      <a16:creationId xmlns:a16="http://schemas.microsoft.com/office/drawing/2014/main" id="{00000000-0008-0000-3000-00002E000000}"/>
                    </a:ext>
                  </a:extLst>
                </xdr:cNvPr>
                <xdr:cNvGrpSpPr/>
              </xdr:nvGrpSpPr>
              <xdr:grpSpPr>
                <a:xfrm>
                  <a:off x="4822125" y="2998950"/>
                  <a:ext cx="1047750" cy="1562100"/>
                  <a:chOff x="4822125" y="2998950"/>
                  <a:chExt cx="1047750" cy="1562100"/>
                </a:xfrm>
              </xdr:grpSpPr>
              <xdr:sp macro="" textlink="">
                <xdr:nvSpPr>
                  <xdr:cNvPr id="47" name="Shape 47">
                    <a:extLst>
                      <a:ext uri="{FF2B5EF4-FFF2-40B4-BE49-F238E27FC236}">
                        <a16:creationId xmlns:a16="http://schemas.microsoft.com/office/drawing/2014/main" id="{00000000-0008-0000-3000-00002F000000}"/>
                      </a:ext>
                    </a:extLst>
                  </xdr:cNvPr>
                  <xdr:cNvSpPr/>
                </xdr:nvSpPr>
                <xdr:spPr>
                  <a:xfrm>
                    <a:off x="4822125" y="2998950"/>
                    <a:ext cx="1047750" cy="15621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grpSp>
                <xdr:nvGrpSpPr>
                  <xdr:cNvPr id="48" name="Shape 48">
                    <a:extLst>
                      <a:ext uri="{FF2B5EF4-FFF2-40B4-BE49-F238E27FC236}">
                        <a16:creationId xmlns:a16="http://schemas.microsoft.com/office/drawing/2014/main" id="{00000000-0008-0000-3000-000030000000}"/>
                      </a:ext>
                    </a:extLst>
                  </xdr:cNvPr>
                  <xdr:cNvGrpSpPr/>
                </xdr:nvGrpSpPr>
                <xdr:grpSpPr>
                  <a:xfrm>
                    <a:off x="4822125" y="2998950"/>
                    <a:ext cx="1047750" cy="1562100"/>
                    <a:chOff x="0" y="0"/>
                    <a:chExt cx="1462" cy="2472"/>
                  </a:xfrm>
                </xdr:grpSpPr>
                <xdr:sp macro="" textlink="">
                  <xdr:nvSpPr>
                    <xdr:cNvPr id="49" name="Shape 49">
                      <a:extLst>
                        <a:ext uri="{FF2B5EF4-FFF2-40B4-BE49-F238E27FC236}">
                          <a16:creationId xmlns:a16="http://schemas.microsoft.com/office/drawing/2014/main" id="{00000000-0008-0000-3000-000031000000}"/>
                        </a:ext>
                      </a:extLst>
                    </xdr:cNvPr>
                    <xdr:cNvSpPr/>
                  </xdr:nvSpPr>
                  <xdr:spPr>
                    <a:xfrm>
                      <a:off x="0" y="0"/>
                      <a:ext cx="1450" cy="24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SzPts val="1400"/>
                        <a:buFont typeface="Arial"/>
                        <a:buNone/>
                      </a:pPr>
                      <a:endParaRPr sz="1400"/>
                    </a:p>
                  </xdr:txBody>
                </xdr:sp>
                <xdr:pic>
                  <xdr:nvPicPr>
                    <xdr:cNvPr id="50" name="Shape 50">
                      <a:extLst>
                        <a:ext uri="{FF2B5EF4-FFF2-40B4-BE49-F238E27FC236}">
                          <a16:creationId xmlns:a16="http://schemas.microsoft.com/office/drawing/2014/main" id="{00000000-0008-0000-3000-000032000000}"/>
                        </a:ext>
                      </a:extLst>
                    </xdr:cNvPr>
                    <xdr:cNvPicPr preferRelativeResize="0"/>
                  </xdr:nvPicPr>
                  <xdr:blipFill rotWithShape="1">
                    <a:blip xmlns:r="http://schemas.openxmlformats.org/officeDocument/2006/relationships" r:embed="rId1">
                      <a:alphaModFix/>
                    </a:blip>
                    <a:srcRect/>
                    <a:stretch/>
                  </xdr:blipFill>
                  <xdr:spPr>
                    <a:xfrm>
                      <a:off x="0" y="0"/>
                      <a:ext cx="1462" cy="1215"/>
                    </a:xfrm>
                    <a:prstGeom prst="rect">
                      <a:avLst/>
                    </a:prstGeom>
                    <a:noFill/>
                    <a:ln>
                      <a:noFill/>
                    </a:ln>
                  </xdr:spPr>
                </xdr:pic>
                <xdr:pic>
                  <xdr:nvPicPr>
                    <xdr:cNvPr id="51" name="Shape 51">
                      <a:extLst>
                        <a:ext uri="{FF2B5EF4-FFF2-40B4-BE49-F238E27FC236}">
                          <a16:creationId xmlns:a16="http://schemas.microsoft.com/office/drawing/2014/main" id="{00000000-0008-0000-3000-000033000000}"/>
                        </a:ext>
                      </a:extLst>
                    </xdr:cNvPr>
                    <xdr:cNvPicPr preferRelativeResize="0"/>
                  </xdr:nvPicPr>
                  <xdr:blipFill rotWithShape="1">
                    <a:blip xmlns:r="http://schemas.openxmlformats.org/officeDocument/2006/relationships" r:embed="rId2">
                      <a:alphaModFix/>
                    </a:blip>
                    <a:srcRect/>
                    <a:stretch/>
                  </xdr:blipFill>
                  <xdr:spPr>
                    <a:xfrm>
                      <a:off x="108" y="1257"/>
                      <a:ext cx="1248" cy="1215"/>
                    </a:xfrm>
                    <a:prstGeom prst="rect">
                      <a:avLst/>
                    </a:prstGeom>
                    <a:noFill/>
                    <a:ln>
                      <a:noFill/>
                    </a:ln>
                  </xdr:spPr>
                </xdr:pic>
                <xdr:pic>
                  <xdr:nvPicPr>
                    <xdr:cNvPr id="52" name="Shape 52">
                      <a:extLst>
                        <a:ext uri="{FF2B5EF4-FFF2-40B4-BE49-F238E27FC236}">
                          <a16:creationId xmlns:a16="http://schemas.microsoft.com/office/drawing/2014/main" id="{00000000-0008-0000-3000-000034000000}"/>
                        </a:ext>
                      </a:extLst>
                    </xdr:cNvPr>
                    <xdr:cNvPicPr preferRelativeResize="0"/>
                  </xdr:nvPicPr>
                  <xdr:blipFill rotWithShape="1">
                    <a:blip xmlns:r="http://schemas.openxmlformats.org/officeDocument/2006/relationships" r:embed="rId1">
                      <a:alphaModFix/>
                    </a:blip>
                    <a:srcRect/>
                    <a:stretch/>
                  </xdr:blipFill>
                  <xdr:spPr>
                    <a:xfrm>
                      <a:off x="0" y="0"/>
                      <a:ext cx="1462" cy="1215"/>
                    </a:xfrm>
                    <a:prstGeom prst="rect">
                      <a:avLst/>
                    </a:prstGeom>
                    <a:noFill/>
                    <a:ln>
                      <a:noFill/>
                    </a:ln>
                  </xdr:spPr>
                </xdr:pic>
                <xdr:pic>
                  <xdr:nvPicPr>
                    <xdr:cNvPr id="53" name="Shape 53">
                      <a:extLst>
                        <a:ext uri="{FF2B5EF4-FFF2-40B4-BE49-F238E27FC236}">
                          <a16:creationId xmlns:a16="http://schemas.microsoft.com/office/drawing/2014/main" id="{00000000-0008-0000-3000-000035000000}"/>
                        </a:ext>
                      </a:extLst>
                    </xdr:cNvPr>
                    <xdr:cNvPicPr preferRelativeResize="0"/>
                  </xdr:nvPicPr>
                  <xdr:blipFill rotWithShape="1">
                    <a:blip xmlns:r="http://schemas.openxmlformats.org/officeDocument/2006/relationships" r:embed="rId2">
                      <a:alphaModFix/>
                    </a:blip>
                    <a:srcRect/>
                    <a:stretch/>
                  </xdr:blipFill>
                  <xdr:spPr>
                    <a:xfrm>
                      <a:off x="108" y="1257"/>
                      <a:ext cx="1248" cy="1215"/>
                    </a:xfrm>
                    <a:prstGeom prst="rect">
                      <a:avLst/>
                    </a:prstGeom>
                    <a:noFill/>
                    <a:ln>
                      <a:noFill/>
                    </a:ln>
                  </xdr:spPr>
                </xdr:pic>
              </xdr:grpSp>
            </xdr:grpSp>
          </xdr:grpSp>
        </xdr:grpSp>
      </xdr:grpSp>
    </xdr:grpSp>
    <xdr:clientData fLocksWithSheet="0"/>
  </xdr:oneCellAnchor>
  <xdr:oneCellAnchor>
    <xdr:from>
      <xdr:col>2</xdr:col>
      <xdr:colOff>504825</xdr:colOff>
      <xdr:row>16</xdr:row>
      <xdr:rowOff>962025</xdr:rowOff>
    </xdr:from>
    <xdr:ext cx="542925" cy="819150"/>
    <xdr:pic>
      <xdr:nvPicPr>
        <xdr:cNvPr id="3" name="image89.png">
          <a:extLst>
            <a:ext uri="{FF2B5EF4-FFF2-40B4-BE49-F238E27FC236}">
              <a16:creationId xmlns:a16="http://schemas.microsoft.com/office/drawing/2014/main" id="{00000000-0008-0000-3000-000003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361950</xdr:colOff>
      <xdr:row>17</xdr:row>
      <xdr:rowOff>800100</xdr:rowOff>
    </xdr:from>
    <xdr:ext cx="904875" cy="819150"/>
    <xdr:pic>
      <xdr:nvPicPr>
        <xdr:cNvPr id="4" name="image91.png">
          <a:extLst>
            <a:ext uri="{FF2B5EF4-FFF2-40B4-BE49-F238E27FC236}">
              <a16:creationId xmlns:a16="http://schemas.microsoft.com/office/drawing/2014/main" id="{00000000-0008-0000-3000-000004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104775</xdr:colOff>
      <xdr:row>16</xdr:row>
      <xdr:rowOff>104775</xdr:rowOff>
    </xdr:from>
    <xdr:ext cx="1543050" cy="571500"/>
    <xdr:pic>
      <xdr:nvPicPr>
        <xdr:cNvPr id="6" name="image75.jpg">
          <a:extLst>
            <a:ext uri="{FF2B5EF4-FFF2-40B4-BE49-F238E27FC236}">
              <a16:creationId xmlns:a16="http://schemas.microsoft.com/office/drawing/2014/main" id="{00000000-0008-0000-3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0</xdr:colOff>
      <xdr:row>14</xdr:row>
      <xdr:rowOff>0</xdr:rowOff>
    </xdr:from>
    <xdr:ext cx="1352550" cy="971550"/>
    <xdr:pic>
      <xdr:nvPicPr>
        <xdr:cNvPr id="7" name="image87.png">
          <a:extLst>
            <a:ext uri="{FF2B5EF4-FFF2-40B4-BE49-F238E27FC236}">
              <a16:creationId xmlns:a16="http://schemas.microsoft.com/office/drawing/2014/main" id="{00000000-0008-0000-3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0</xdr:colOff>
      <xdr:row>15</xdr:row>
      <xdr:rowOff>0</xdr:rowOff>
    </xdr:from>
    <xdr:ext cx="1019175" cy="971550"/>
    <xdr:pic>
      <xdr:nvPicPr>
        <xdr:cNvPr id="8" name="image73.png">
          <a:extLst>
            <a:ext uri="{FF2B5EF4-FFF2-40B4-BE49-F238E27FC236}">
              <a16:creationId xmlns:a16="http://schemas.microsoft.com/office/drawing/2014/main" id="{00000000-0008-0000-3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3</xdr:col>
      <xdr:colOff>0</xdr:colOff>
      <xdr:row>18</xdr:row>
      <xdr:rowOff>0</xdr:rowOff>
    </xdr:from>
    <xdr:ext cx="962025" cy="847725"/>
    <xdr:pic>
      <xdr:nvPicPr>
        <xdr:cNvPr id="9" name="image116.png">
          <a:extLst>
            <a:ext uri="{FF2B5EF4-FFF2-40B4-BE49-F238E27FC236}">
              <a16:creationId xmlns:a16="http://schemas.microsoft.com/office/drawing/2014/main" id="{00000000-0008-0000-30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19</xdr:row>
      <xdr:rowOff>0</xdr:rowOff>
    </xdr:from>
    <xdr:ext cx="1219200" cy="847725"/>
    <xdr:pic>
      <xdr:nvPicPr>
        <xdr:cNvPr id="10" name="image77.png">
          <a:extLst>
            <a:ext uri="{FF2B5EF4-FFF2-40B4-BE49-F238E27FC236}">
              <a16:creationId xmlns:a16="http://schemas.microsoft.com/office/drawing/2014/main" id="{00000000-0008-0000-30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3</xdr:col>
      <xdr:colOff>0</xdr:colOff>
      <xdr:row>19</xdr:row>
      <xdr:rowOff>0</xdr:rowOff>
    </xdr:from>
    <xdr:ext cx="809625" cy="847725"/>
    <xdr:pic>
      <xdr:nvPicPr>
        <xdr:cNvPr id="11" name="image72.png">
          <a:extLst>
            <a:ext uri="{FF2B5EF4-FFF2-40B4-BE49-F238E27FC236}">
              <a16:creationId xmlns:a16="http://schemas.microsoft.com/office/drawing/2014/main" id="{00000000-0008-0000-30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wsDr>
</file>

<file path=xl/drawings/drawing47.xml><?xml version="1.0" encoding="utf-8"?>
<xdr:wsDr xmlns:xdr="http://schemas.openxmlformats.org/drawingml/2006/spreadsheetDrawing" xmlns:a="http://schemas.openxmlformats.org/drawingml/2006/main">
  <xdr:oneCellAnchor>
    <xdr:from>
      <xdr:col>2</xdr:col>
      <xdr:colOff>0</xdr:colOff>
      <xdr:row>4</xdr:row>
      <xdr:rowOff>0</xdr:rowOff>
    </xdr:from>
    <xdr:ext cx="1228725" cy="847725"/>
    <xdr:pic>
      <xdr:nvPicPr>
        <xdr:cNvPr id="2" name="image88.png">
          <a:extLst>
            <a:ext uri="{FF2B5EF4-FFF2-40B4-BE49-F238E27FC236}">
              <a16:creationId xmlns:a16="http://schemas.microsoft.com/office/drawing/2014/main" id="{00000000-0008-0000-3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8.xml><?xml version="1.0" encoding="utf-8"?>
<xdr:wsDr xmlns:xdr="http://schemas.openxmlformats.org/drawingml/2006/spreadsheetDrawing" xmlns:a="http://schemas.openxmlformats.org/drawingml/2006/main">
  <xdr:oneCellAnchor>
    <xdr:from>
      <xdr:col>2</xdr:col>
      <xdr:colOff>0</xdr:colOff>
      <xdr:row>5</xdr:row>
      <xdr:rowOff>0</xdr:rowOff>
    </xdr:from>
    <xdr:ext cx="552450" cy="809625"/>
    <xdr:pic>
      <xdr:nvPicPr>
        <xdr:cNvPr id="2" name="image110.png">
          <a:extLst>
            <a:ext uri="{FF2B5EF4-FFF2-40B4-BE49-F238E27FC236}">
              <a16:creationId xmlns:a16="http://schemas.microsoft.com/office/drawing/2014/main" id="{00000000-0008-0000-32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49.xml><?xml version="1.0" encoding="utf-8"?>
<xdr:wsDr xmlns:xdr="http://schemas.openxmlformats.org/drawingml/2006/spreadsheetDrawing" xmlns:a="http://schemas.openxmlformats.org/drawingml/2006/main">
  <xdr:oneCellAnchor>
    <xdr:from>
      <xdr:col>2</xdr:col>
      <xdr:colOff>28575</xdr:colOff>
      <xdr:row>5</xdr:row>
      <xdr:rowOff>76200</xdr:rowOff>
    </xdr:from>
    <xdr:ext cx="1914525" cy="571500"/>
    <xdr:pic>
      <xdr:nvPicPr>
        <xdr:cNvPr id="2" name="image105.png">
          <a:extLst>
            <a:ext uri="{FF2B5EF4-FFF2-40B4-BE49-F238E27FC236}">
              <a16:creationId xmlns:a16="http://schemas.microsoft.com/office/drawing/2014/main" id="{00000000-0008-0000-3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85725</xdr:colOff>
      <xdr:row>5</xdr:row>
      <xdr:rowOff>819150</xdr:rowOff>
    </xdr:from>
    <xdr:ext cx="1333500" cy="742950"/>
    <xdr:pic>
      <xdr:nvPicPr>
        <xdr:cNvPr id="3" name="image84.jpg">
          <a:extLst>
            <a:ext uri="{FF2B5EF4-FFF2-40B4-BE49-F238E27FC236}">
              <a16:creationId xmlns:a16="http://schemas.microsoft.com/office/drawing/2014/main" id="{00000000-0008-0000-3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7</xdr:row>
      <xdr:rowOff>0</xdr:rowOff>
    </xdr:from>
    <xdr:ext cx="561975" cy="847725"/>
    <xdr:pic>
      <xdr:nvPicPr>
        <xdr:cNvPr id="4" name="image85.png">
          <a:extLst>
            <a:ext uri="{FF2B5EF4-FFF2-40B4-BE49-F238E27FC236}">
              <a16:creationId xmlns:a16="http://schemas.microsoft.com/office/drawing/2014/main" id="{00000000-0008-0000-3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50.xml><?xml version="1.0" encoding="utf-8"?>
<xdr:wsDr xmlns:xdr="http://schemas.openxmlformats.org/drawingml/2006/spreadsheetDrawing" xmlns:a="http://schemas.openxmlformats.org/drawingml/2006/main">
  <xdr:oneCellAnchor>
    <xdr:from>
      <xdr:col>2</xdr:col>
      <xdr:colOff>0</xdr:colOff>
      <xdr:row>5</xdr:row>
      <xdr:rowOff>0</xdr:rowOff>
    </xdr:from>
    <xdr:ext cx="762000" cy="1009650"/>
    <xdr:pic>
      <xdr:nvPicPr>
        <xdr:cNvPr id="2" name="image97.png">
          <a:extLst>
            <a:ext uri="{FF2B5EF4-FFF2-40B4-BE49-F238E27FC236}">
              <a16:creationId xmlns:a16="http://schemas.microsoft.com/office/drawing/2014/main" id="{00000000-0008-0000-3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6</xdr:row>
      <xdr:rowOff>0</xdr:rowOff>
    </xdr:from>
    <xdr:ext cx="1238250" cy="847725"/>
    <xdr:pic>
      <xdr:nvPicPr>
        <xdr:cNvPr id="3" name="image108.png">
          <a:extLst>
            <a:ext uri="{FF2B5EF4-FFF2-40B4-BE49-F238E27FC236}">
              <a16:creationId xmlns:a16="http://schemas.microsoft.com/office/drawing/2014/main" id="{00000000-0008-0000-3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51.xml><?xml version="1.0" encoding="utf-8"?>
<xdr:wsDr xmlns:xdr="http://schemas.openxmlformats.org/drawingml/2006/spreadsheetDrawing" xmlns:a="http://schemas.openxmlformats.org/drawingml/2006/main">
  <xdr:oneCellAnchor>
    <xdr:from>
      <xdr:col>2</xdr:col>
      <xdr:colOff>0</xdr:colOff>
      <xdr:row>8</xdr:row>
      <xdr:rowOff>0</xdr:rowOff>
    </xdr:from>
    <xdr:ext cx="1095375" cy="1009650"/>
    <xdr:pic>
      <xdr:nvPicPr>
        <xdr:cNvPr id="2" name="image121.png">
          <a:extLst>
            <a:ext uri="{FF2B5EF4-FFF2-40B4-BE49-F238E27FC236}">
              <a16:creationId xmlns:a16="http://schemas.microsoft.com/office/drawing/2014/main" id="{00000000-0008-0000-3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52.xml><?xml version="1.0" encoding="utf-8"?>
<xdr:wsDr xmlns:xdr="http://schemas.openxmlformats.org/drawingml/2006/spreadsheetDrawing" xmlns:a="http://schemas.openxmlformats.org/drawingml/2006/main">
  <xdr:oneCellAnchor>
    <xdr:from>
      <xdr:col>2</xdr:col>
      <xdr:colOff>0</xdr:colOff>
      <xdr:row>4</xdr:row>
      <xdr:rowOff>0</xdr:rowOff>
    </xdr:from>
    <xdr:ext cx="781050" cy="1009650"/>
    <xdr:pic>
      <xdr:nvPicPr>
        <xdr:cNvPr id="2" name="image100.png">
          <a:extLst>
            <a:ext uri="{FF2B5EF4-FFF2-40B4-BE49-F238E27FC236}">
              <a16:creationId xmlns:a16="http://schemas.microsoft.com/office/drawing/2014/main" id="{00000000-0008-0000-3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5</xdr:row>
      <xdr:rowOff>0</xdr:rowOff>
    </xdr:from>
    <xdr:ext cx="666750" cy="847725"/>
    <xdr:pic>
      <xdr:nvPicPr>
        <xdr:cNvPr id="3" name="image92.png">
          <a:extLst>
            <a:ext uri="{FF2B5EF4-FFF2-40B4-BE49-F238E27FC236}">
              <a16:creationId xmlns:a16="http://schemas.microsoft.com/office/drawing/2014/main" id="{00000000-0008-0000-3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3</xdr:col>
      <xdr:colOff>0</xdr:colOff>
      <xdr:row>5</xdr:row>
      <xdr:rowOff>0</xdr:rowOff>
    </xdr:from>
    <xdr:ext cx="1390650" cy="847725"/>
    <xdr:pic>
      <xdr:nvPicPr>
        <xdr:cNvPr id="4" name="image80.png">
          <a:extLst>
            <a:ext uri="{FF2B5EF4-FFF2-40B4-BE49-F238E27FC236}">
              <a16:creationId xmlns:a16="http://schemas.microsoft.com/office/drawing/2014/main" id="{00000000-0008-0000-36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53.xml><?xml version="1.0" encoding="utf-8"?>
<xdr:wsDr xmlns:xdr="http://schemas.openxmlformats.org/drawingml/2006/spreadsheetDrawing" xmlns:a="http://schemas.openxmlformats.org/drawingml/2006/main">
  <xdr:oneCellAnchor>
    <xdr:from>
      <xdr:col>2</xdr:col>
      <xdr:colOff>0</xdr:colOff>
      <xdr:row>22</xdr:row>
      <xdr:rowOff>0</xdr:rowOff>
    </xdr:from>
    <xdr:ext cx="1476375" cy="847725"/>
    <xdr:pic>
      <xdr:nvPicPr>
        <xdr:cNvPr id="2" name="image119.jpg">
          <a:extLst>
            <a:ext uri="{FF2B5EF4-FFF2-40B4-BE49-F238E27FC236}">
              <a16:creationId xmlns:a16="http://schemas.microsoft.com/office/drawing/2014/main" id="{00000000-0008-0000-3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54.xml><?xml version="1.0" encoding="utf-8"?>
<xdr:wsDr xmlns:xdr="http://schemas.openxmlformats.org/drawingml/2006/spreadsheetDrawing" xmlns:a="http://schemas.openxmlformats.org/drawingml/2006/main">
  <xdr:oneCellAnchor>
    <xdr:from>
      <xdr:col>2</xdr:col>
      <xdr:colOff>247650</xdr:colOff>
      <xdr:row>14</xdr:row>
      <xdr:rowOff>76200</xdr:rowOff>
    </xdr:from>
    <xdr:ext cx="1190625" cy="742950"/>
    <xdr:pic>
      <xdr:nvPicPr>
        <xdr:cNvPr id="2" name="image103.jpg">
          <a:extLst>
            <a:ext uri="{FF2B5EF4-FFF2-40B4-BE49-F238E27FC236}">
              <a16:creationId xmlns:a16="http://schemas.microsoft.com/office/drawing/2014/main" id="{00000000-0008-0000-3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55.xml><?xml version="1.0" encoding="utf-8"?>
<xdr:wsDr xmlns:xdr="http://schemas.openxmlformats.org/drawingml/2006/spreadsheetDrawing" xmlns:a="http://schemas.openxmlformats.org/drawingml/2006/main">
  <xdr:oneCellAnchor>
    <xdr:from>
      <xdr:col>3</xdr:col>
      <xdr:colOff>219075</xdr:colOff>
      <xdr:row>15</xdr:row>
      <xdr:rowOff>0</xdr:rowOff>
    </xdr:from>
    <xdr:ext cx="1504950" cy="1200150"/>
    <xdr:pic>
      <xdr:nvPicPr>
        <xdr:cNvPr id="2" name="image81.png">
          <a:extLst>
            <a:ext uri="{FF2B5EF4-FFF2-40B4-BE49-F238E27FC236}">
              <a16:creationId xmlns:a16="http://schemas.microsoft.com/office/drawing/2014/main" id="{00000000-0008-0000-3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390525</xdr:colOff>
      <xdr:row>15</xdr:row>
      <xdr:rowOff>9525</xdr:rowOff>
    </xdr:from>
    <xdr:ext cx="790575" cy="819150"/>
    <xdr:pic>
      <xdr:nvPicPr>
        <xdr:cNvPr id="3" name="image109.png">
          <a:extLst>
            <a:ext uri="{FF2B5EF4-FFF2-40B4-BE49-F238E27FC236}">
              <a16:creationId xmlns:a16="http://schemas.microsoft.com/office/drawing/2014/main" id="{00000000-0008-0000-3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16</xdr:row>
      <xdr:rowOff>0</xdr:rowOff>
    </xdr:from>
    <xdr:ext cx="790575" cy="847725"/>
    <xdr:pic>
      <xdr:nvPicPr>
        <xdr:cNvPr id="4" name="image79.png">
          <a:extLst>
            <a:ext uri="{FF2B5EF4-FFF2-40B4-BE49-F238E27FC236}">
              <a16:creationId xmlns:a16="http://schemas.microsoft.com/office/drawing/2014/main" id="{00000000-0008-0000-3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drawings/drawing56.xml><?xml version="1.0" encoding="utf-8"?>
<xdr:wsDr xmlns:xdr="http://schemas.openxmlformats.org/drawingml/2006/spreadsheetDrawing" xmlns:a="http://schemas.openxmlformats.org/drawingml/2006/main">
  <xdr:oneCellAnchor>
    <xdr:from>
      <xdr:col>2</xdr:col>
      <xdr:colOff>0</xdr:colOff>
      <xdr:row>16</xdr:row>
      <xdr:rowOff>0</xdr:rowOff>
    </xdr:from>
    <xdr:ext cx="609600" cy="847725"/>
    <xdr:pic>
      <xdr:nvPicPr>
        <xdr:cNvPr id="2" name="image78.png">
          <a:extLst>
            <a:ext uri="{FF2B5EF4-FFF2-40B4-BE49-F238E27FC236}">
              <a16:creationId xmlns:a16="http://schemas.microsoft.com/office/drawing/2014/main" id="{00000000-0008-0000-3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17</xdr:row>
      <xdr:rowOff>0</xdr:rowOff>
    </xdr:from>
    <xdr:ext cx="876300" cy="847725"/>
    <xdr:pic>
      <xdr:nvPicPr>
        <xdr:cNvPr id="3" name="image114.png">
          <a:extLst>
            <a:ext uri="{FF2B5EF4-FFF2-40B4-BE49-F238E27FC236}">
              <a16:creationId xmlns:a16="http://schemas.microsoft.com/office/drawing/2014/main" id="{00000000-0008-0000-3A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57.xml><?xml version="1.0" encoding="utf-8"?>
<xdr:wsDr xmlns:xdr="http://schemas.openxmlformats.org/drawingml/2006/spreadsheetDrawing" xmlns:a="http://schemas.openxmlformats.org/drawingml/2006/main">
  <xdr:oneCellAnchor>
    <xdr:from>
      <xdr:col>2</xdr:col>
      <xdr:colOff>381000</xdr:colOff>
      <xdr:row>18</xdr:row>
      <xdr:rowOff>57150</xdr:rowOff>
    </xdr:from>
    <xdr:ext cx="790575" cy="742950"/>
    <xdr:pic>
      <xdr:nvPicPr>
        <xdr:cNvPr id="2" name="image86.jpg">
          <a:extLst>
            <a:ext uri="{FF2B5EF4-FFF2-40B4-BE49-F238E27FC236}">
              <a16:creationId xmlns:a16="http://schemas.microsoft.com/office/drawing/2014/main" id="{00000000-0008-0000-3B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17</xdr:row>
      <xdr:rowOff>0</xdr:rowOff>
    </xdr:from>
    <xdr:ext cx="1219200" cy="847725"/>
    <xdr:pic>
      <xdr:nvPicPr>
        <xdr:cNvPr id="3" name="image77.png">
          <a:extLst>
            <a:ext uri="{FF2B5EF4-FFF2-40B4-BE49-F238E27FC236}">
              <a16:creationId xmlns:a16="http://schemas.microsoft.com/office/drawing/2014/main" id="{00000000-0008-0000-3B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58.xml><?xml version="1.0" encoding="utf-8"?>
<xdr:wsDr xmlns:xdr="http://schemas.openxmlformats.org/drawingml/2006/spreadsheetDrawing" xmlns:a="http://schemas.openxmlformats.org/drawingml/2006/main">
  <xdr:oneCellAnchor>
    <xdr:from>
      <xdr:col>2</xdr:col>
      <xdr:colOff>190500</xdr:colOff>
      <xdr:row>18</xdr:row>
      <xdr:rowOff>85725</xdr:rowOff>
    </xdr:from>
    <xdr:ext cx="1219200" cy="742950"/>
    <xdr:pic>
      <xdr:nvPicPr>
        <xdr:cNvPr id="2" name="image83.jpg">
          <a:extLst>
            <a:ext uri="{FF2B5EF4-FFF2-40B4-BE49-F238E27FC236}">
              <a16:creationId xmlns:a16="http://schemas.microsoft.com/office/drawing/2014/main" id="{00000000-0008-0000-3C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542925</xdr:colOff>
      <xdr:row>17</xdr:row>
      <xdr:rowOff>47625</xdr:rowOff>
    </xdr:from>
    <xdr:ext cx="628650" cy="742950"/>
    <xdr:pic>
      <xdr:nvPicPr>
        <xdr:cNvPr id="3" name="image90.jpg">
          <a:extLst>
            <a:ext uri="{FF2B5EF4-FFF2-40B4-BE49-F238E27FC236}">
              <a16:creationId xmlns:a16="http://schemas.microsoft.com/office/drawing/2014/main" id="{00000000-0008-0000-3C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59.xml><?xml version="1.0" encoding="utf-8"?>
<xdr:wsDr xmlns:xdr="http://schemas.openxmlformats.org/drawingml/2006/spreadsheetDrawing" xmlns:a="http://schemas.openxmlformats.org/drawingml/2006/main">
  <xdr:oneCellAnchor>
    <xdr:from>
      <xdr:col>2</xdr:col>
      <xdr:colOff>47625</xdr:colOff>
      <xdr:row>17</xdr:row>
      <xdr:rowOff>161925</xdr:rowOff>
    </xdr:from>
    <xdr:ext cx="1543050" cy="581025"/>
    <xdr:pic>
      <xdr:nvPicPr>
        <xdr:cNvPr id="2" name="image82.jpg">
          <a:extLst>
            <a:ext uri="{FF2B5EF4-FFF2-40B4-BE49-F238E27FC236}">
              <a16:creationId xmlns:a16="http://schemas.microsoft.com/office/drawing/2014/main" id="{00000000-0008-0000-3D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18</xdr:row>
      <xdr:rowOff>0</xdr:rowOff>
    </xdr:from>
    <xdr:ext cx="1571625" cy="704850"/>
    <xdr:pic>
      <xdr:nvPicPr>
        <xdr:cNvPr id="3" name="image107.jpg">
          <a:extLst>
            <a:ext uri="{FF2B5EF4-FFF2-40B4-BE49-F238E27FC236}">
              <a16:creationId xmlns:a16="http://schemas.microsoft.com/office/drawing/2014/main" id="{00000000-0008-0000-3D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wsDr>
</file>

<file path=xl/drawings/drawing60.xml><?xml version="1.0" encoding="utf-8"?>
<xdr:wsDr xmlns:xdr="http://schemas.openxmlformats.org/drawingml/2006/spreadsheetDrawing" xmlns:a="http://schemas.openxmlformats.org/drawingml/2006/main">
  <xdr:oneCellAnchor>
    <xdr:from>
      <xdr:col>2</xdr:col>
      <xdr:colOff>352425</xdr:colOff>
      <xdr:row>6</xdr:row>
      <xdr:rowOff>104775</xdr:rowOff>
    </xdr:from>
    <xdr:ext cx="638175" cy="742950"/>
    <xdr:pic>
      <xdr:nvPicPr>
        <xdr:cNvPr id="2" name="image65.jpg">
          <a:extLst>
            <a:ext uri="{FF2B5EF4-FFF2-40B4-BE49-F238E27FC236}">
              <a16:creationId xmlns:a16="http://schemas.microsoft.com/office/drawing/2014/main" id="{00000000-0008-0000-3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323850</xdr:colOff>
      <xdr:row>5</xdr:row>
      <xdr:rowOff>114300</xdr:rowOff>
    </xdr:from>
    <xdr:ext cx="619125" cy="742950"/>
    <xdr:pic>
      <xdr:nvPicPr>
        <xdr:cNvPr id="3" name="image122.jpg">
          <a:extLst>
            <a:ext uri="{FF2B5EF4-FFF2-40B4-BE49-F238E27FC236}">
              <a16:creationId xmlns:a16="http://schemas.microsoft.com/office/drawing/2014/main" id="{00000000-0008-0000-3E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7</xdr:row>
      <xdr:rowOff>0</xdr:rowOff>
    </xdr:from>
    <xdr:ext cx="1390650" cy="990600"/>
    <xdr:pic>
      <xdr:nvPicPr>
        <xdr:cNvPr id="4" name="image111.png">
          <a:extLst>
            <a:ext uri="{FF2B5EF4-FFF2-40B4-BE49-F238E27FC236}">
              <a16:creationId xmlns:a16="http://schemas.microsoft.com/office/drawing/2014/main" id="{00000000-0008-0000-3E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SimSun"/>
        <a:ea typeface="SimSun"/>
        <a:cs typeface="SimSun"/>
      </a:majorFont>
      <a:minorFont>
        <a:latin typeface="SimSun"/>
        <a:ea typeface="SimSun"/>
        <a:cs typeface="SimSu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01"/>
  <sheetViews>
    <sheetView tabSelected="1" workbookViewId="0"/>
  </sheetViews>
  <sheetFormatPr defaultColWidth="11.25" defaultRowHeight="15" customHeight="1"/>
  <cols>
    <col min="1" max="1" width="0.5" customWidth="1"/>
    <col min="2" max="2" width="16.5" customWidth="1"/>
    <col min="3" max="3" width="40.5" hidden="1" customWidth="1"/>
    <col min="4" max="4" width="39.125" customWidth="1"/>
    <col min="5" max="5" width="43" customWidth="1"/>
    <col min="6" max="6" width="40.5" customWidth="1"/>
    <col min="7" max="7" width="43.5" customWidth="1"/>
    <col min="8" max="26" width="10" customWidth="1"/>
  </cols>
  <sheetData>
    <row r="1" spans="1:26">
      <c r="A1" s="52"/>
      <c r="B1" s="52"/>
      <c r="C1" s="53" t="s">
        <v>0</v>
      </c>
      <c r="D1" s="53" t="s">
        <v>1</v>
      </c>
      <c r="E1" s="53" t="s">
        <v>2</v>
      </c>
      <c r="F1" s="53" t="s">
        <v>3</v>
      </c>
      <c r="G1" s="1"/>
      <c r="H1" s="1"/>
      <c r="I1" s="1"/>
      <c r="J1" s="1"/>
      <c r="K1" s="1"/>
      <c r="L1" s="1"/>
      <c r="M1" s="1"/>
      <c r="N1" s="1"/>
      <c r="O1" s="1"/>
      <c r="P1" s="1"/>
      <c r="Q1" s="1"/>
      <c r="R1" s="1"/>
      <c r="S1" s="1"/>
      <c r="T1" s="1"/>
      <c r="U1" s="1"/>
      <c r="V1" s="1"/>
      <c r="W1" s="1"/>
      <c r="X1" s="1"/>
      <c r="Y1" s="1"/>
      <c r="Z1" s="1"/>
    </row>
    <row r="2" spans="1:26" ht="80.25" customHeight="1">
      <c r="A2" s="54"/>
      <c r="B2" s="2"/>
      <c r="C2" s="55" t="s">
        <v>4</v>
      </c>
      <c r="D2" s="55" t="s">
        <v>5</v>
      </c>
      <c r="E2" s="55" t="s">
        <v>6</v>
      </c>
      <c r="F2" s="55" t="s">
        <v>7</v>
      </c>
      <c r="G2" s="3"/>
      <c r="H2" s="3"/>
      <c r="I2" s="3"/>
      <c r="J2" s="3"/>
      <c r="K2" s="3"/>
      <c r="L2" s="3"/>
      <c r="M2" s="3"/>
      <c r="N2" s="3"/>
      <c r="O2" s="3"/>
      <c r="P2" s="3"/>
      <c r="Q2" s="3"/>
      <c r="R2" s="3"/>
      <c r="S2" s="3"/>
      <c r="T2" s="3"/>
      <c r="U2" s="3"/>
      <c r="V2" s="3"/>
      <c r="W2" s="3"/>
      <c r="X2" s="3"/>
      <c r="Y2" s="3"/>
      <c r="Z2" s="3"/>
    </row>
    <row r="3" spans="1:26" ht="22.5" customHeight="1">
      <c r="A3" s="56"/>
      <c r="B3" s="56"/>
      <c r="C3" s="57" t="s">
        <v>8</v>
      </c>
      <c r="D3" s="57" t="s">
        <v>9</v>
      </c>
      <c r="E3" s="58" t="str">
        <f ca="1">IFERROR(__xludf.DUMMYFUNCTION("GOOGLETRANSLATE(D3,(""auto""),(""fr""))"),"CHAPITRE I DISSEMBLY PIÈCES ÉLECTRIQUES")</f>
        <v>CHAPITRE I DISSEMBLY PIÈCES ÉLECTRIQUES</v>
      </c>
      <c r="F3" s="58" t="s">
        <v>10</v>
      </c>
      <c r="G3" s="4"/>
      <c r="H3" s="4"/>
      <c r="I3" s="4"/>
      <c r="J3" s="4"/>
      <c r="K3" s="4"/>
      <c r="L3" s="4"/>
      <c r="M3" s="4"/>
      <c r="N3" s="4"/>
      <c r="O3" s="4"/>
      <c r="P3" s="4"/>
      <c r="Q3" s="4"/>
      <c r="R3" s="4"/>
      <c r="S3" s="4"/>
      <c r="T3" s="4"/>
      <c r="U3" s="4"/>
      <c r="V3" s="4"/>
      <c r="W3" s="4"/>
      <c r="X3" s="4"/>
      <c r="Y3" s="4"/>
      <c r="Z3" s="4"/>
    </row>
    <row r="4" spans="1:26">
      <c r="A4" s="59"/>
      <c r="B4" s="60" t="s">
        <v>11</v>
      </c>
      <c r="C4" s="61" t="s">
        <v>12</v>
      </c>
      <c r="D4" s="61" t="str">
        <f ca="1">IFERROR(__xludf.DUMMYFUNCTION("GOOGLETRANSLATE(C4)"),"Faro")</f>
        <v>Faro</v>
      </c>
      <c r="E4" s="61" t="str">
        <f ca="1">IFERROR(__xludf.DUMMYFUNCTION("GOOGLETRANSLATE(D4,(""auto""),(""fr""))"),"Longeron")</f>
        <v>Longeron</v>
      </c>
      <c r="F4" s="61" t="str">
        <f ca="1">IFERROR(__xludf.DUMMYFUNCTION("GOOGLETRANSLATE(E4,(""auto""),(""it""))"),"Lunghezza")</f>
        <v>Lunghezza</v>
      </c>
      <c r="G4" s="61"/>
      <c r="H4" s="5"/>
      <c r="I4" s="5"/>
      <c r="J4" s="5"/>
      <c r="K4" s="5"/>
      <c r="L4" s="5"/>
      <c r="M4" s="5"/>
      <c r="N4" s="5"/>
      <c r="O4" s="5"/>
      <c r="P4" s="5"/>
      <c r="Q4" s="5"/>
      <c r="R4" s="5"/>
      <c r="S4" s="5"/>
      <c r="T4" s="5"/>
      <c r="U4" s="5"/>
      <c r="V4" s="5"/>
      <c r="W4" s="5"/>
      <c r="X4" s="5"/>
      <c r="Y4" s="5"/>
      <c r="Z4" s="5"/>
    </row>
    <row r="5" spans="1:26">
      <c r="A5" s="59"/>
      <c r="B5" s="6" t="s">
        <v>13</v>
      </c>
      <c r="C5" s="7" t="s">
        <v>14</v>
      </c>
      <c r="D5" s="7" t="str">
        <f ca="1">IFERROR(__xludf.DUMMYFUNCTION("GOOGLETRANSLATE(C5)"),"Velocímetro")</f>
        <v>Velocímetro</v>
      </c>
      <c r="E5" s="7" t="str">
        <f ca="1">IFERROR(__xludf.DUMMYFUNCTION("GOOGLETRANSLATE(D5,(""auto""),(""fr""))"),"Compteur de vitesse")</f>
        <v>Compteur de vitesse</v>
      </c>
      <c r="F5" s="7" t="str">
        <f ca="1">IFERROR(__xludf.DUMMYFUNCTION("GOOGLETRANSLATE(E5,(""auto""),(""it""))"),"Tachimetro")</f>
        <v>Tachimetro</v>
      </c>
      <c r="G5" s="5"/>
      <c r="H5" s="5"/>
      <c r="I5" s="5"/>
      <c r="J5" s="5"/>
      <c r="K5" s="5"/>
      <c r="L5" s="5"/>
      <c r="M5" s="5"/>
      <c r="N5" s="5"/>
      <c r="O5" s="5"/>
      <c r="P5" s="5"/>
      <c r="Q5" s="5"/>
      <c r="R5" s="5"/>
      <c r="S5" s="5"/>
      <c r="T5" s="5"/>
      <c r="U5" s="5"/>
      <c r="V5" s="5"/>
      <c r="W5" s="5"/>
      <c r="X5" s="5"/>
      <c r="Y5" s="5"/>
      <c r="Z5" s="5"/>
    </row>
    <row r="6" spans="1:26">
      <c r="A6" s="59"/>
      <c r="B6" s="6" t="s">
        <v>15</v>
      </c>
      <c r="C6" s="7" t="s">
        <v>16</v>
      </c>
      <c r="D6" s="7" t="str">
        <f ca="1">IFERROR(__xludf.DUMMYFUNCTION("GOOGLETRANSLATE(C6)"),"Conjunto de interruptor derecho")</f>
        <v>Conjunto de interruptor derecho</v>
      </c>
      <c r="E6" s="7" t="str">
        <f ca="1">IFERROR(__xludf.DUMMYFUNCTION("GOOGLETRANSLATE(D6,(""auto""),(""fr""))"),"Définition de l'interrupteur de droite")</f>
        <v>Définition de l'interrupteur de droite</v>
      </c>
      <c r="F6" s="7" t="str">
        <f ca="1">IFERROR(__xludf.DUMMYFUNCTION("GOOGLETRANSLATE(C6,(""auto""),(""it""))"),"Gruppo interruttore destro")</f>
        <v>Gruppo interruttore destro</v>
      </c>
      <c r="G6" s="5"/>
      <c r="H6" s="5"/>
      <c r="I6" s="5"/>
      <c r="J6" s="5"/>
      <c r="K6" s="5"/>
      <c r="L6" s="5"/>
      <c r="M6" s="5"/>
      <c r="N6" s="5"/>
      <c r="O6" s="5"/>
      <c r="P6" s="5"/>
      <c r="Q6" s="5"/>
      <c r="R6" s="5"/>
      <c r="S6" s="5"/>
      <c r="T6" s="5"/>
      <c r="U6" s="5"/>
      <c r="V6" s="5"/>
      <c r="W6" s="5"/>
      <c r="X6" s="5"/>
      <c r="Y6" s="5"/>
      <c r="Z6" s="5"/>
    </row>
    <row r="7" spans="1:26">
      <c r="A7" s="59"/>
      <c r="B7" s="6" t="s">
        <v>17</v>
      </c>
      <c r="C7" s="7" t="s">
        <v>18</v>
      </c>
      <c r="D7" s="7" t="str">
        <f ca="1">IFERROR(__xludf.DUMMYFUNCTION("GOOGLETRANSLATE(C7)"),"Conjunto del interruptor izquierdo")</f>
        <v>Conjunto del interruptor izquierdo</v>
      </c>
      <c r="E7" s="7" t="str">
        <f ca="1">IFERROR(__xludf.DUMMYFUNCTION("GOOGLETRANSLATE(D7,(""auto""),(""fr""))"),"Assemblage de l'interrupteur de gauche")</f>
        <v>Assemblage de l'interrupteur de gauche</v>
      </c>
      <c r="F7" s="7" t="str">
        <f ca="1">IFERROR(__xludf.DUMMYFUNCTION("GOOGLETRANSLATE(E7,(""auto""),(""it""))"),"Assemblaggio dell'interruttore sinistro")</f>
        <v>Assemblaggio dell'interruttore sinistro</v>
      </c>
      <c r="G7" s="5"/>
      <c r="H7" s="5"/>
      <c r="I7" s="5"/>
      <c r="J7" s="5"/>
      <c r="K7" s="5"/>
      <c r="L7" s="5"/>
      <c r="M7" s="5"/>
      <c r="N7" s="5"/>
      <c r="O7" s="5"/>
      <c r="P7" s="5"/>
      <c r="Q7" s="5"/>
      <c r="R7" s="5"/>
      <c r="S7" s="5"/>
      <c r="T7" s="5"/>
      <c r="U7" s="5"/>
      <c r="V7" s="5"/>
      <c r="W7" s="5"/>
      <c r="X7" s="5"/>
      <c r="Y7" s="5"/>
      <c r="Z7" s="5"/>
    </row>
    <row r="8" spans="1:26">
      <c r="A8" s="59"/>
      <c r="B8" s="6" t="s">
        <v>19</v>
      </c>
      <c r="C8" s="7" t="s">
        <v>20</v>
      </c>
      <c r="D8" s="7" t="str">
        <f ca="1">IFERROR(__xludf.DUMMYFUNCTION("GOOGLETRANSLATE(C8)"),"Convertidor")</f>
        <v>Convertidor</v>
      </c>
      <c r="E8" s="7" t="str">
        <f ca="1">IFERROR(__xludf.DUMMYFUNCTION("GOOGLETRANSLATE(D8,(""auto""),(""fr""))"),"Convertisseur")</f>
        <v>Convertisseur</v>
      </c>
      <c r="F8" s="7" t="str">
        <f ca="1">IFERROR(__xludf.DUMMYFUNCTION("GOOGLETRANSLATE(E8,(""auto""),(""it""))"),"Convertitore")</f>
        <v>Convertitore</v>
      </c>
      <c r="G8" s="5"/>
      <c r="H8" s="5"/>
      <c r="I8" s="5"/>
      <c r="J8" s="5"/>
      <c r="K8" s="5"/>
      <c r="L8" s="5"/>
      <c r="M8" s="5"/>
      <c r="N8" s="5"/>
      <c r="O8" s="5"/>
      <c r="P8" s="5"/>
      <c r="Q8" s="5"/>
      <c r="R8" s="5"/>
      <c r="S8" s="5"/>
      <c r="T8" s="5"/>
      <c r="U8" s="5"/>
      <c r="V8" s="5"/>
      <c r="W8" s="5"/>
      <c r="X8" s="5"/>
      <c r="Y8" s="5"/>
      <c r="Z8" s="5"/>
    </row>
    <row r="9" spans="1:26" ht="18.75" customHeight="1">
      <c r="A9" s="59"/>
      <c r="B9" s="6" t="s">
        <v>21</v>
      </c>
      <c r="C9" s="7" t="s">
        <v>22</v>
      </c>
      <c r="D9" s="7" t="str">
        <f ca="1">IFERROR(__xludf.DUMMYFUNCTION("GOOGLETRANSLATE(C9)"),"Alarma")</f>
        <v>Alarma</v>
      </c>
      <c r="E9" s="7" t="str">
        <f ca="1">IFERROR(__xludf.DUMMYFUNCTION("GOOGLETRANSLATE(D9,(""auto""),(""fr""))"),"Alarme")</f>
        <v>Alarme</v>
      </c>
      <c r="F9" s="7" t="str">
        <f ca="1">IFERROR(__xludf.DUMMYFUNCTION("GOOGLETRANSLATE(E9,(""auto""),(""it""))"),"Allarme")</f>
        <v>Allarme</v>
      </c>
      <c r="G9" s="5"/>
      <c r="H9" s="5"/>
      <c r="I9" s="5"/>
      <c r="J9" s="5"/>
      <c r="K9" s="5"/>
      <c r="L9" s="5"/>
      <c r="M9" s="5"/>
      <c r="N9" s="5"/>
      <c r="O9" s="5"/>
      <c r="P9" s="5"/>
      <c r="Q9" s="5"/>
      <c r="R9" s="5"/>
      <c r="S9" s="5"/>
      <c r="T9" s="5"/>
      <c r="U9" s="5"/>
      <c r="V9" s="5"/>
      <c r="W9" s="5"/>
      <c r="X9" s="5"/>
      <c r="Y9" s="5"/>
      <c r="Z9" s="5"/>
    </row>
    <row r="10" spans="1:26" ht="18.75" customHeight="1">
      <c r="A10" s="59"/>
      <c r="B10" s="6" t="s">
        <v>23</v>
      </c>
      <c r="C10" s="7" t="s">
        <v>24</v>
      </c>
      <c r="D10" s="7" t="str">
        <f ca="1">IFERROR(__xludf.DUMMYFUNCTION("GOOGLETRANSLATE(C10)"),"Bocina")</f>
        <v>Bocina</v>
      </c>
      <c r="E10" s="7" t="str">
        <f ca="1">IFERROR(__xludf.DUMMYFUNCTION("GOOGLETRANSLATE(D10,(""auto""),(""fr""))"),"Corne")</f>
        <v>Corne</v>
      </c>
      <c r="F10" s="7" t="s">
        <v>25</v>
      </c>
      <c r="G10" s="5"/>
      <c r="H10" s="5"/>
      <c r="I10" s="5"/>
      <c r="J10" s="5"/>
      <c r="K10" s="5"/>
      <c r="L10" s="5"/>
      <c r="M10" s="5"/>
      <c r="N10" s="5"/>
      <c r="O10" s="5"/>
      <c r="P10" s="5"/>
      <c r="Q10" s="5"/>
      <c r="R10" s="5"/>
      <c r="S10" s="5"/>
      <c r="T10" s="5"/>
      <c r="U10" s="5"/>
      <c r="V10" s="5"/>
      <c r="W10" s="5"/>
      <c r="X10" s="5"/>
      <c r="Y10" s="5"/>
      <c r="Z10" s="5"/>
    </row>
    <row r="11" spans="1:26">
      <c r="A11" s="59"/>
      <c r="B11" s="6" t="s">
        <v>26</v>
      </c>
      <c r="C11" s="7" t="s">
        <v>27</v>
      </c>
      <c r="D11" s="7" t="s">
        <v>28</v>
      </c>
      <c r="E11" s="7" t="str">
        <f ca="1">IFERROR(__xludf.DUMMYFUNCTION("GOOGLETRANSLATE(D11,(""auto""),(""fr""))"),"Relais intermittents")</f>
        <v>Relais intermittents</v>
      </c>
      <c r="F11" s="7" t="str">
        <f ca="1">IFERROR(__xludf.DUMMYFUNCTION("GOOGLETRANSLATE(E11,(""auto""),(""it""))"),"Relè intermittente")</f>
        <v>Relè intermittente</v>
      </c>
      <c r="G11" s="5"/>
      <c r="H11" s="5"/>
      <c r="I11" s="5"/>
      <c r="J11" s="5"/>
      <c r="K11" s="5"/>
      <c r="L11" s="5"/>
      <c r="M11" s="5"/>
      <c r="N11" s="5"/>
      <c r="O11" s="5"/>
      <c r="P11" s="5"/>
      <c r="Q11" s="5"/>
      <c r="R11" s="5"/>
      <c r="S11" s="5"/>
      <c r="T11" s="5"/>
      <c r="U11" s="5"/>
      <c r="V11" s="5"/>
      <c r="W11" s="5"/>
      <c r="X11" s="5"/>
      <c r="Y11" s="5"/>
      <c r="Z11" s="5"/>
    </row>
    <row r="12" spans="1:26">
      <c r="A12" s="59"/>
      <c r="B12" s="6" t="s">
        <v>29</v>
      </c>
      <c r="C12" s="7" t="s">
        <v>30</v>
      </c>
      <c r="D12" s="7" t="str">
        <f ca="1">IFERROR(__xludf.DUMMYFUNCTION("GOOGLETRANSLATE(C12)"),"Batería")</f>
        <v>Batería</v>
      </c>
      <c r="E12" s="7" t="str">
        <f ca="1">IFERROR(__xludf.DUMMYFUNCTION("GOOGLETRANSLATE(D12,(""auto""),(""fr""))"),"Batterie")</f>
        <v>Batterie</v>
      </c>
      <c r="F12" s="7" t="str">
        <f ca="1">IFERROR(__xludf.DUMMYFUNCTION("GOOGLETRANSLATE(E12,(""auto""),(""it""))"),"Batteria")</f>
        <v>Batteria</v>
      </c>
      <c r="G12" s="5"/>
      <c r="H12" s="5"/>
      <c r="I12" s="5"/>
      <c r="J12" s="5"/>
      <c r="K12" s="5"/>
      <c r="L12" s="5"/>
      <c r="M12" s="5"/>
      <c r="N12" s="5"/>
      <c r="O12" s="5"/>
      <c r="P12" s="5"/>
      <c r="Q12" s="5"/>
      <c r="R12" s="5"/>
      <c r="S12" s="5"/>
      <c r="T12" s="5"/>
      <c r="U12" s="5"/>
      <c r="V12" s="5"/>
      <c r="W12" s="5"/>
      <c r="X12" s="5"/>
      <c r="Y12" s="5"/>
      <c r="Z12" s="5"/>
    </row>
    <row r="13" spans="1:26">
      <c r="A13" s="59"/>
      <c r="B13" s="6" t="s">
        <v>31</v>
      </c>
      <c r="C13" s="7" t="s">
        <v>32</v>
      </c>
      <c r="D13" s="7" t="str">
        <f ca="1">IFERROR(__xludf.DUMMYFUNCTION("GOOGLETRANSLATE(C13)"),"Unidad de control")</f>
        <v>Unidad de control</v>
      </c>
      <c r="E13" s="7" t="str">
        <f ca="1">IFERROR(__xludf.DUMMYFUNCTION("GOOGLETRANSLATE(C13,(""auto""),(""fr""))"),"Contrôleur")</f>
        <v>Contrôleur</v>
      </c>
      <c r="F13" s="7" t="str">
        <f ca="1">IFERROR(__xludf.DUMMYFUNCTION("GOOGLETRANSLATE(E13,(""auto""),(""it""))"),"Controller")</f>
        <v>Controller</v>
      </c>
      <c r="G13" s="5"/>
      <c r="H13" s="5"/>
      <c r="I13" s="5"/>
      <c r="J13" s="5"/>
      <c r="K13" s="5"/>
      <c r="L13" s="5"/>
      <c r="M13" s="5"/>
      <c r="N13" s="5"/>
      <c r="O13" s="5"/>
      <c r="P13" s="5"/>
      <c r="Q13" s="5"/>
      <c r="R13" s="5"/>
      <c r="S13" s="5"/>
      <c r="T13" s="5"/>
      <c r="U13" s="5"/>
      <c r="V13" s="5"/>
      <c r="W13" s="5"/>
      <c r="X13" s="5"/>
      <c r="Y13" s="5"/>
      <c r="Z13" s="5"/>
    </row>
    <row r="14" spans="1:26">
      <c r="A14" s="59"/>
      <c r="B14" s="6" t="s">
        <v>33</v>
      </c>
      <c r="C14" s="7" t="s">
        <v>34</v>
      </c>
      <c r="D14" s="7" t="str">
        <f ca="1">IFERROR(__xludf.DUMMYFUNCTION("GOOGLETRANSLATE(C14)"),"Motor")</f>
        <v>Motor</v>
      </c>
      <c r="E14" s="7" t="str">
        <f ca="1">IFERROR(__xludf.DUMMYFUNCTION("GOOGLETRANSLATE(D14,(""auto""),(""fr""))"),"Moteur")</f>
        <v>Moteur</v>
      </c>
      <c r="F14" s="7" t="str">
        <f ca="1">IFERROR(__xludf.DUMMYFUNCTION("GOOGLETRANSLATE(E14,(""auto""),(""it""))"),"Motore")</f>
        <v>Motore</v>
      </c>
      <c r="G14" s="5"/>
      <c r="H14" s="5"/>
      <c r="I14" s="5"/>
      <c r="J14" s="5"/>
      <c r="K14" s="5"/>
      <c r="L14" s="5"/>
      <c r="M14" s="5"/>
      <c r="N14" s="5"/>
      <c r="O14" s="5"/>
      <c r="P14" s="5"/>
      <c r="Q14" s="5"/>
      <c r="R14" s="5"/>
      <c r="S14" s="5"/>
      <c r="T14" s="5"/>
      <c r="U14" s="5"/>
      <c r="V14" s="5"/>
      <c r="W14" s="5"/>
      <c r="X14" s="5"/>
      <c r="Y14" s="5"/>
      <c r="Z14" s="5"/>
    </row>
    <row r="15" spans="1:26">
      <c r="A15" s="59"/>
      <c r="B15" s="6" t="s">
        <v>35</v>
      </c>
      <c r="C15" s="7" t="s">
        <v>36</v>
      </c>
      <c r="D15" s="7" t="str">
        <f ca="1">IFERROR(__xludf.DUMMYFUNCTION("GOOGLETRANSLATE(C15)"),"Unidad de bloqueo de asiento electrónico")</f>
        <v>Unidad de bloqueo de asiento electrónico</v>
      </c>
      <c r="E15" s="7" t="str">
        <f ca="1">IFERROR(__xludf.DUMMYFUNCTION("GOOGLETRANSLATE(D15,(""auto""),(""fr""))"),"Unité de blocage électronique des sièges")</f>
        <v>Unité de blocage électronique des sièges</v>
      </c>
      <c r="F15" s="7" t="str">
        <f ca="1">IFERROR(__xludf.DUMMYFUNCTION("GOOGLETRANSLATE(E15,(""auto""),(""it""))"),"Unità di bloccante elettronica di sedili")</f>
        <v>Unità di bloccante elettronica di sedili</v>
      </c>
      <c r="G15" s="5"/>
      <c r="H15" s="5"/>
      <c r="I15" s="5"/>
      <c r="J15" s="5"/>
      <c r="K15" s="5"/>
      <c r="L15" s="5"/>
      <c r="M15" s="5"/>
      <c r="N15" s="5"/>
      <c r="O15" s="5"/>
      <c r="P15" s="5"/>
      <c r="Q15" s="5"/>
      <c r="R15" s="5"/>
      <c r="S15" s="5"/>
      <c r="T15" s="5"/>
      <c r="U15" s="5"/>
      <c r="V15" s="5"/>
      <c r="W15" s="5"/>
      <c r="X15" s="5"/>
      <c r="Y15" s="5"/>
      <c r="Z15" s="5"/>
    </row>
    <row r="16" spans="1:26">
      <c r="A16" s="59"/>
      <c r="B16" s="6" t="s">
        <v>37</v>
      </c>
      <c r="C16" s="7" t="s">
        <v>38</v>
      </c>
      <c r="D16" s="7" t="str">
        <f ca="1">IFERROR(__xludf.DUMMYFUNCTION("GOOGLETRANSLATE(C16)"),"Protector de circuito")</f>
        <v>Protector de circuito</v>
      </c>
      <c r="E16" s="7" t="str">
        <f ca="1">IFERROR(__xludf.DUMMYFUNCTION("GOOGLETRANSLATE(D16,(""auto""),(""fr""))"),"Protecteur de circuit")</f>
        <v>Protecteur de circuit</v>
      </c>
      <c r="F16" s="7" t="str">
        <f ca="1">IFERROR(__xludf.DUMMYFUNCTION("GOOGLETRANSLATE(E16,(""auto""),(""it""))"),"Protezione del circuito")</f>
        <v>Protezione del circuito</v>
      </c>
      <c r="G16" s="5"/>
      <c r="H16" s="5"/>
      <c r="I16" s="5"/>
      <c r="J16" s="5"/>
      <c r="K16" s="5"/>
      <c r="L16" s="5"/>
      <c r="M16" s="5"/>
      <c r="N16" s="5"/>
      <c r="O16" s="5"/>
      <c r="P16" s="5"/>
      <c r="Q16" s="5"/>
      <c r="R16" s="5"/>
      <c r="S16" s="5"/>
      <c r="T16" s="5"/>
      <c r="U16" s="5"/>
      <c r="V16" s="5"/>
      <c r="W16" s="5"/>
      <c r="X16" s="5"/>
      <c r="Y16" s="5"/>
      <c r="Z16" s="5"/>
    </row>
    <row r="17" spans="1:26">
      <c r="A17" s="59"/>
      <c r="B17" s="6" t="s">
        <v>39</v>
      </c>
      <c r="C17" s="7" t="s">
        <v>40</v>
      </c>
      <c r="D17" s="7" t="s">
        <v>41</v>
      </c>
      <c r="E17" s="7" t="str">
        <f ca="1">IFERROR(__xludf.DUMMYFUNCTION("GOOGLETRANSLATE(D17,(""auto""),(""fr""))"),"Indicateurs avant")</f>
        <v>Indicateurs avant</v>
      </c>
      <c r="F17" s="7" t="str">
        <f ca="1">IFERROR(__xludf.DUMMYFUNCTION("GOOGLETRANSLATE(E17,(""auto""),(""it""))"),"Indicatori frontali")</f>
        <v>Indicatori frontali</v>
      </c>
      <c r="G17" s="5"/>
      <c r="H17" s="5"/>
      <c r="I17" s="5"/>
      <c r="J17" s="5"/>
      <c r="K17" s="5"/>
      <c r="L17" s="5"/>
      <c r="M17" s="5"/>
      <c r="N17" s="5"/>
      <c r="O17" s="5"/>
      <c r="P17" s="5"/>
      <c r="Q17" s="5"/>
      <c r="R17" s="5"/>
      <c r="S17" s="5"/>
      <c r="T17" s="5"/>
      <c r="U17" s="5"/>
      <c r="V17" s="5"/>
      <c r="W17" s="5"/>
      <c r="X17" s="5"/>
      <c r="Y17" s="5"/>
      <c r="Z17" s="5"/>
    </row>
    <row r="18" spans="1:26">
      <c r="A18" s="59"/>
      <c r="B18" s="6" t="s">
        <v>42</v>
      </c>
      <c r="C18" s="7" t="s">
        <v>43</v>
      </c>
      <c r="D18" s="7" t="str">
        <f ca="1">IFERROR(__xludf.DUMMYFUNCTION("GOOGLETRANSLATE(C18)"),"interfaz USB")</f>
        <v>interfaz USB</v>
      </c>
      <c r="E18" s="7" t="str">
        <f ca="1">IFERROR(__xludf.DUMMYFUNCTION("GOOGLETRANSLATE(D18,(""auto""),(""fr""))"),"interface USB")</f>
        <v>interface USB</v>
      </c>
      <c r="F18" s="7" t="str">
        <f ca="1">IFERROR(__xludf.DUMMYFUNCTION("GOOGLETRANSLATE(E18,(""auto""),(""it""))"),"Interfaccia USB")</f>
        <v>Interfaccia USB</v>
      </c>
      <c r="G18" s="5"/>
      <c r="H18" s="5"/>
      <c r="I18" s="5"/>
      <c r="J18" s="5"/>
      <c r="K18" s="5"/>
      <c r="L18" s="5"/>
      <c r="M18" s="5"/>
      <c r="N18" s="5"/>
      <c r="O18" s="5"/>
      <c r="P18" s="5"/>
      <c r="Q18" s="5"/>
      <c r="R18" s="5"/>
      <c r="S18" s="5"/>
      <c r="T18" s="5"/>
      <c r="U18" s="5"/>
      <c r="V18" s="5"/>
      <c r="W18" s="5"/>
      <c r="X18" s="5"/>
      <c r="Y18" s="5"/>
      <c r="Z18" s="5"/>
    </row>
    <row r="19" spans="1:26">
      <c r="A19" s="59"/>
      <c r="B19" s="6" t="s">
        <v>44</v>
      </c>
      <c r="C19" s="7" t="s">
        <v>45</v>
      </c>
      <c r="D19" s="7" t="str">
        <f ca="1">IFERROR(__xludf.DUMMYFUNCTION("GOOGLETRANSLATE(C19)"),"Condsy de luz trasera")</f>
        <v>Condsy de luz trasera</v>
      </c>
      <c r="E19" s="7" t="str">
        <f ca="1">IFERROR(__xludf.DUMMYFUNCTION("GOOGLETRANSLATE(D19,(""auto""),(""fr""))"),"Lumière arrière")</f>
        <v>Lumière arrière</v>
      </c>
      <c r="F19" s="7" t="str">
        <f ca="1">IFERROR(__xludf.DUMMYFUNCTION("GOOGLETRANSLATE(E19,(""auto""),(""it""))"),"Luce posteriore")</f>
        <v>Luce posteriore</v>
      </c>
      <c r="G19" s="5"/>
      <c r="H19" s="5"/>
      <c r="I19" s="5"/>
      <c r="J19" s="5"/>
      <c r="K19" s="5"/>
      <c r="L19" s="5"/>
      <c r="M19" s="5"/>
      <c r="N19" s="5"/>
      <c r="O19" s="5"/>
      <c r="P19" s="5"/>
      <c r="Q19" s="5"/>
      <c r="R19" s="5"/>
      <c r="S19" s="5"/>
      <c r="T19" s="5"/>
      <c r="U19" s="5"/>
      <c r="V19" s="5"/>
      <c r="W19" s="5"/>
      <c r="X19" s="5"/>
      <c r="Y19" s="5"/>
      <c r="Z19" s="5"/>
    </row>
    <row r="20" spans="1:26">
      <c r="A20" s="59"/>
      <c r="B20" s="6" t="s">
        <v>46</v>
      </c>
      <c r="C20" s="7" t="s">
        <v>47</v>
      </c>
      <c r="D20" s="7" t="s">
        <v>48</v>
      </c>
      <c r="E20" s="7" t="str">
        <f ca="1">IFERROR(__xludf.DUMMYFUNCTION("GOOGLETRANSLATE(D20,(""auto""),(""fr""))"),"Indicateurs arrière")</f>
        <v>Indicateurs arrière</v>
      </c>
      <c r="F20" s="7" t="str">
        <f ca="1">IFERROR(__xludf.DUMMYFUNCTION("GOOGLETRANSLATE(E20,(""auto""),(""it""))"),"Indicatori posteriori")</f>
        <v>Indicatori posteriori</v>
      </c>
      <c r="G20" s="5"/>
      <c r="H20" s="5"/>
      <c r="I20" s="5"/>
      <c r="J20" s="5"/>
      <c r="K20" s="5"/>
      <c r="L20" s="5"/>
      <c r="M20" s="5"/>
      <c r="N20" s="5"/>
      <c r="O20" s="5"/>
      <c r="P20" s="5"/>
      <c r="Q20" s="5"/>
      <c r="R20" s="5"/>
      <c r="S20" s="5"/>
      <c r="T20" s="5"/>
      <c r="U20" s="5"/>
      <c r="V20" s="5"/>
      <c r="W20" s="5"/>
      <c r="X20" s="5"/>
      <c r="Y20" s="5"/>
      <c r="Z20" s="5"/>
    </row>
    <row r="21" spans="1:26">
      <c r="A21" s="59"/>
      <c r="B21" s="6" t="s">
        <v>49</v>
      </c>
      <c r="C21" s="7" t="s">
        <v>50</v>
      </c>
      <c r="D21" s="7" t="str">
        <f ca="1">IFERROR(__xludf.DUMMYFUNCTION("GOOGLETRANSLATE(C21)"),"Conjunto de interruptor de soporte lateral")</f>
        <v>Conjunto de interruptor de soporte lateral</v>
      </c>
      <c r="E21" s="7" t="str">
        <f ca="1">IFERROR(__xludf.DUMMYFUNCTION("GOOGLETRANSLATE(D21,(""auto""),(""fr""))"),"Assemblage de l'interrupteur de support latéral")</f>
        <v>Assemblage de l'interrupteur de support latéral</v>
      </c>
      <c r="F21" s="7" t="str">
        <f ca="1">IFERROR(__xludf.DUMMYFUNCTION("GOOGLETRANSLATE(E21,(""auto""),(""it""))"),"Assemblaggio dell'interruttore di supporto laterale")</f>
        <v>Assemblaggio dell'interruttore di supporto laterale</v>
      </c>
      <c r="G21" s="5"/>
      <c r="H21" s="5"/>
      <c r="I21" s="5"/>
      <c r="J21" s="5"/>
      <c r="K21" s="5"/>
      <c r="L21" s="5"/>
      <c r="M21" s="5"/>
      <c r="N21" s="5"/>
      <c r="O21" s="5"/>
      <c r="P21" s="5"/>
      <c r="Q21" s="5"/>
      <c r="R21" s="5"/>
      <c r="S21" s="5"/>
      <c r="T21" s="5"/>
      <c r="U21" s="5"/>
      <c r="V21" s="5"/>
      <c r="W21" s="5"/>
      <c r="X21" s="5"/>
      <c r="Y21" s="5"/>
      <c r="Z21" s="5"/>
    </row>
    <row r="22" spans="1:26" ht="15.75" customHeight="1">
      <c r="A22" s="59"/>
      <c r="B22" s="6" t="s">
        <v>51</v>
      </c>
      <c r="C22" s="7" t="s">
        <v>52</v>
      </c>
      <c r="D22" s="7" t="str">
        <f ca="1">IFERROR(__xludf.DUMMYFUNCTION("GOOGLETRANSLATE(C22)"),"Tabón de carga del vehículo")</f>
        <v>Tabón de carga del vehículo</v>
      </c>
      <c r="E22" s="7" t="str">
        <f ca="1">IFERROR(__xludf.DUMMYFUNCTION("GOOGLETRANSLATE(D22,(""auto""),(""fr""))"),"Onglet Cargo du véhicule")</f>
        <v>Onglet Cargo du véhicule</v>
      </c>
      <c r="F22" s="7" t="str">
        <f ca="1">IFERROR(__xludf.DUMMYFUNCTION("GOOGLETRANSLATE(E22,(""auto""),(""it""))"),"Scheda di carico del veicolo")</f>
        <v>Scheda di carico del veicolo</v>
      </c>
      <c r="G22" s="5"/>
      <c r="H22" s="5"/>
      <c r="I22" s="5"/>
      <c r="J22" s="5"/>
      <c r="K22" s="5"/>
      <c r="L22" s="5"/>
      <c r="M22" s="5"/>
      <c r="N22" s="5"/>
      <c r="O22" s="5"/>
      <c r="P22" s="5"/>
      <c r="Q22" s="5"/>
      <c r="R22" s="5"/>
      <c r="S22" s="5"/>
      <c r="T22" s="5"/>
      <c r="U22" s="5"/>
      <c r="V22" s="5"/>
      <c r="W22" s="5"/>
      <c r="X22" s="5"/>
      <c r="Y22" s="5"/>
      <c r="Z22" s="5"/>
    </row>
    <row r="23" spans="1:26" ht="17.25" customHeight="1">
      <c r="A23" s="62"/>
      <c r="B23" s="62"/>
      <c r="C23" s="63" t="s">
        <v>53</v>
      </c>
      <c r="D23" s="63" t="str">
        <f ca="1">IFERROR(__xludf.DUMMYFUNCTION("GOOGLETRANSLATE(C23)"),"Desmontaje de las piezas mecánicas del Capítulo II")</f>
        <v>Desmontaje de las piezas mecánicas del Capítulo II</v>
      </c>
      <c r="E23" s="63" t="str">
        <f ca="1">IFERROR(__xludf.DUMMYFUNCTION("GOOGLETRANSLATE(D23,(""auto""),(""fr""))"),"Démontage des morceaux mécaniques du chapitre II")</f>
        <v>Démontage des morceaux mécaniques du chapitre II</v>
      </c>
      <c r="F23" s="63" t="str">
        <f ca="1">IFERROR(__xludf.DUMMYFUNCTION("GOOGLETRANSLATE(E23,(""auto""),(""it""))"),"Smontaggio dei pezzi meccanici del capitolo II")</f>
        <v>Smontaggio dei pezzi meccanici del capitolo II</v>
      </c>
      <c r="G23" s="4"/>
      <c r="H23" s="4"/>
      <c r="I23" s="4"/>
      <c r="J23" s="4"/>
      <c r="K23" s="4"/>
      <c r="L23" s="4"/>
      <c r="M23" s="4"/>
      <c r="N23" s="4"/>
      <c r="O23" s="4"/>
      <c r="P23" s="4"/>
      <c r="Q23" s="4"/>
      <c r="R23" s="4"/>
      <c r="S23" s="4"/>
      <c r="T23" s="4"/>
      <c r="U23" s="4"/>
      <c r="V23" s="4"/>
      <c r="W23" s="4"/>
      <c r="X23" s="4"/>
      <c r="Y23" s="4"/>
      <c r="Z23" s="4"/>
    </row>
    <row r="24" spans="1:26" ht="15.75" customHeight="1">
      <c r="A24" s="64"/>
      <c r="B24" s="65" t="s">
        <v>54</v>
      </c>
      <c r="C24" s="8" t="s">
        <v>55</v>
      </c>
      <c r="D24" s="6" t="str">
        <f ca="1">IFERROR(__xludf.DUMMYFUNCTION("GOOGLETRANSLATE(C24)"),"Cesta del frente")</f>
        <v>Cesta del frente</v>
      </c>
      <c r="E24" s="6" t="str">
        <f ca="1">IFERROR(__xludf.DUMMYFUNCTION("GOOGLETRANSLATE(D24,(""auto""),(""fr""))"),"Panier avant")</f>
        <v>Panier avant</v>
      </c>
      <c r="F24" s="6" t="str">
        <f ca="1">IFERROR(__xludf.DUMMYFUNCTION("GOOGLETRANSLATE(E24,(""auto""),(""it""))"),"Cestino frontale")</f>
        <v>Cestino frontale</v>
      </c>
    </row>
    <row r="25" spans="1:26" ht="15.75" customHeight="1">
      <c r="A25" s="64"/>
      <c r="B25" s="65" t="s">
        <v>56</v>
      </c>
      <c r="C25" s="8" t="s">
        <v>57</v>
      </c>
      <c r="D25" s="6" t="s">
        <v>58</v>
      </c>
      <c r="E25" s="6" t="str">
        <f ca="1">IFERROR(__xludf.DUMMYFUNCTION("GOOGLETRANSLATE(D25,(""auto""),(""fr""))"),"Bouclier avant")</f>
        <v>Bouclier avant</v>
      </c>
      <c r="F25" s="6" t="str">
        <f ca="1">IFERROR(__xludf.DUMMYFUNCTION("GOOGLETRANSLATE(E25,(""auto""),(""it""))"),"Scudo anteriore")</f>
        <v>Scudo anteriore</v>
      </c>
    </row>
    <row r="26" spans="1:26" ht="15.75" customHeight="1">
      <c r="A26" s="64"/>
      <c r="B26" s="65" t="s">
        <v>59</v>
      </c>
      <c r="C26" s="8" t="s">
        <v>60</v>
      </c>
      <c r="D26" s="6" t="str">
        <f ca="1">IFERROR(__xludf.DUMMYFUNCTION("GOOGLETRANSLATE(C26)"),"Portero trasero")</f>
        <v>Portero trasero</v>
      </c>
      <c r="E26" s="6" t="str">
        <f ca="1">IFERROR(__xludf.DUMMYFUNCTION("GOOGLETRANSLATE(D26,(""auto""),(""fr""))"),"Gardien de but arrière")</f>
        <v>Gardien de but arrière</v>
      </c>
      <c r="F26" s="6" t="str">
        <f ca="1">IFERROR(__xludf.DUMMYFUNCTION("GOOGLETRANSLATE(E26,(""auto""),(""it""))"),"Obiettivo posteriore")</f>
        <v>Obiettivo posteriore</v>
      </c>
    </row>
    <row r="27" spans="1:26" ht="15.75" customHeight="1">
      <c r="A27" s="64"/>
      <c r="B27" s="65" t="s">
        <v>61</v>
      </c>
      <c r="C27" s="8" t="s">
        <v>62</v>
      </c>
      <c r="D27" s="6" t="str">
        <f ca="1">IFERROR(__xludf.DUMMYFUNCTION("GOOGLETRANSLATE(C27)"),"Placa eléctrica")</f>
        <v>Placa eléctrica</v>
      </c>
      <c r="E27" s="6" t="str">
        <f ca="1">IFERROR(__xludf.DUMMYFUNCTION("GOOGLETRANSLATE(D27,(""auto""),(""fr""))"),"Plaque électrique")</f>
        <v>Plaque électrique</v>
      </c>
      <c r="F27" s="6" t="str">
        <f ca="1">IFERROR(__xludf.DUMMYFUNCTION("GOOGLETRANSLATE(E27,(""auto""),(""it""))"),"Piastra elettrica")</f>
        <v>Piastra elettrica</v>
      </c>
    </row>
    <row r="28" spans="1:26" ht="15.75" customHeight="1">
      <c r="A28" s="64"/>
      <c r="B28" s="65" t="s">
        <v>63</v>
      </c>
      <c r="C28" s="8" t="s">
        <v>64</v>
      </c>
      <c r="D28" s="6" t="str">
        <f ca="1">IFERROR(__xludf.DUMMYFUNCTION("GOOGLETRANSLATE(C28)"),"Cubierta central trasera")</f>
        <v>Cubierta central trasera</v>
      </c>
      <c r="E28" s="6" t="str">
        <f ca="1">IFERROR(__xludf.DUMMYFUNCTION("GOOGLETRANSLATE(D28,(""auto""),(""fr""))"),"Couvercle arrière central")</f>
        <v>Couvercle arrière central</v>
      </c>
      <c r="F28" s="6" t="str">
        <f ca="1">IFERROR(__xludf.DUMMYFUNCTION("GOOGLETRANSLATE(E28,(""auto""),(""it""))"),"Coperchio posteriore centrale")</f>
        <v>Coperchio posteriore centrale</v>
      </c>
    </row>
    <row r="29" spans="1:26" ht="15.75" customHeight="1">
      <c r="A29" s="64"/>
      <c r="B29" s="65" t="s">
        <v>65</v>
      </c>
      <c r="C29" s="8" t="s">
        <v>66</v>
      </c>
      <c r="D29" s="6" t="str">
        <f ca="1">IFERROR(__xludf.DUMMYFUNCTION("GOOGLETRANSLATE(C29)"),"Escudos delanteros izquierdo y derecho")</f>
        <v>Escudos delanteros izquierdo y derecho</v>
      </c>
      <c r="E29" s="6" t="str">
        <f ca="1">IFERROR(__xludf.DUMMYFUNCTION("GOOGLETRANSLATE(D29,(""auto""),(""fr""))"),"Boucliers avant gauche et droit")</f>
        <v>Boucliers avant gauche et droit</v>
      </c>
      <c r="F29" s="6" t="str">
        <f ca="1">IFERROR(__xludf.DUMMYFUNCTION("GOOGLETRANSLATE(E29,(""auto""),(""it""))"),"Shiedi frontali sinistra e destra")</f>
        <v>Shiedi frontali sinistra e destra</v>
      </c>
    </row>
    <row r="30" spans="1:26" ht="15.75" customHeight="1">
      <c r="A30" s="64"/>
      <c r="B30" s="65" t="s">
        <v>67</v>
      </c>
      <c r="C30" s="8" t="s">
        <v>68</v>
      </c>
      <c r="D30" s="6" t="str">
        <f ca="1">IFERROR(__xludf.DUMMYFUNCTION("GOOGLETRANSLATE(C30)"),"Cubierta de faros")</f>
        <v>Cubierta de faros</v>
      </c>
      <c r="E30" s="6" t="str">
        <f ca="1">IFERROR(__xludf.DUMMYFUNCTION("GOOGLETRANSLATE(D30,(""auto""),(""fr""))"),"Couvercle des phares")</f>
        <v>Couvercle des phares</v>
      </c>
      <c r="F30" s="6" t="str">
        <f ca="1">IFERROR(__xludf.DUMMYFUNCTION("GOOGLETRANSLATE(E30,(""auto""),(""it""))"),"Copertura del faro")</f>
        <v>Copertura del faro</v>
      </c>
    </row>
    <row r="31" spans="1:26" ht="15.75" customHeight="1">
      <c r="A31" s="64"/>
      <c r="B31" s="65" t="s">
        <v>69</v>
      </c>
      <c r="C31" s="8" t="s">
        <v>70</v>
      </c>
      <c r="D31" s="6" t="str">
        <f ca="1">IFERROR(__xludf.DUMMYFUNCTION("GOOGLETRANSLATE(C31)"),"Pedal")</f>
        <v>Pedal</v>
      </c>
      <c r="E31" s="6" t="str">
        <f ca="1">IFERROR(__xludf.DUMMYFUNCTION("GOOGLETRANSLATE(D31,(""auto""),(""fr""))"),"Pédale")</f>
        <v>Pédale</v>
      </c>
      <c r="F31" s="6" t="str">
        <f ca="1">IFERROR(__xludf.DUMMYFUNCTION("GOOGLETRANSLATE(E31,(""auto""),(""it""))"),"Pedale")</f>
        <v>Pedale</v>
      </c>
    </row>
    <row r="32" spans="1:26" ht="15.75" customHeight="1">
      <c r="A32" s="64"/>
      <c r="B32" s="65" t="s">
        <v>71</v>
      </c>
      <c r="C32" s="8" t="s">
        <v>72</v>
      </c>
      <c r="D32" s="6" t="str">
        <f ca="1">IFERROR(__xludf.DUMMYFUNCTION("GOOGLETRANSLATE(C32)"),"(Izquierda/derecha) Strip de cubierta")</f>
        <v>(Izquierda/derecha) Strip de cubierta</v>
      </c>
      <c r="E32" s="6" t="str">
        <f ca="1">IFERROR(__xludf.DUMMYFUNCTION("GOOGLETRANSLATE(D32,(""auto""),(""fr""))"),"(Gauche / droite) bande de pont")</f>
        <v>(Gauche / droite) bande de pont</v>
      </c>
      <c r="F32" s="6" t="str">
        <f ca="1">IFERROR(__xludf.DUMMYFUNCTION("GOOGLETRANSLATE(E32,(""auto""),(""it""))"),"(Sinistra / destra) Striscia del ponte")</f>
        <v>(Sinistra / destra) Striscia del ponte</v>
      </c>
    </row>
    <row r="33" spans="1:6" ht="15.75" customHeight="1">
      <c r="A33" s="64"/>
      <c r="B33" s="65" t="s">
        <v>73</v>
      </c>
      <c r="C33" s="8" t="s">
        <v>74</v>
      </c>
      <c r="D33" s="6" t="str">
        <f ca="1">IFERROR(__xludf.DUMMYFUNCTION("GOOGLETRANSLATE(C33)"),"Gancho")</f>
        <v>Gancho</v>
      </c>
      <c r="E33" s="6" t="str">
        <f ca="1">IFERROR(__xludf.DUMMYFUNCTION("GOOGLETRANSLATE(D33,(""auto""),(""fr""))"),"Accrocher")</f>
        <v>Accrocher</v>
      </c>
      <c r="F33" s="6" t="str">
        <f ca="1">IFERROR(__xludf.DUMMYFUNCTION("GOOGLETRANSLATE(E33,(""auto""),(""it""))"),"Appendere")</f>
        <v>Appendere</v>
      </c>
    </row>
    <row r="34" spans="1:6" ht="15.75" customHeight="1">
      <c r="A34" s="64"/>
      <c r="B34" s="65" t="s">
        <v>75</v>
      </c>
      <c r="C34" s="8" t="s">
        <v>76</v>
      </c>
      <c r="D34" s="6" t="str">
        <f ca="1">IFERROR(__xludf.DUMMYFUNCTION("GOOGLETRANSLATE(C34)"),"Cubierta")</f>
        <v>Cubierta</v>
      </c>
      <c r="E34" s="6" t="str">
        <f ca="1">IFERROR(__xludf.DUMMYFUNCTION("GOOGLETRANSLATE(D34,(""auto""),(""fr""))"),"Pont")</f>
        <v>Pont</v>
      </c>
      <c r="F34" s="6" t="str">
        <f ca="1">IFERROR(__xludf.DUMMYFUNCTION("GOOGLETRANSLATE(E34,(""auto""),(""it""))"),"Punto")</f>
        <v>Punto</v>
      </c>
    </row>
    <row r="35" spans="1:6" ht="15.75" customHeight="1">
      <c r="A35" s="64"/>
      <c r="B35" s="65" t="s">
        <v>77</v>
      </c>
      <c r="C35" s="8" t="s">
        <v>78</v>
      </c>
      <c r="D35" s="6" t="str">
        <f ca="1">IFERROR(__xludf.DUMMYFUNCTION("GOOGLETRANSLATE(C35)"),"Cubierta de viga principal")</f>
        <v>Cubierta de viga principal</v>
      </c>
      <c r="E35" s="6" t="str">
        <f ca="1">IFERROR(__xludf.DUMMYFUNCTION("GOOGLETRANSLATE(D35,(""auto""),(""fr""))"),"Couvercle de faisceau principal")</f>
        <v>Couvercle de faisceau principal</v>
      </c>
      <c r="F35" s="6" t="str">
        <f ca="1">IFERROR(__xludf.DUMMYFUNCTION("GOOGLETRANSLATE(E35,(""auto""),(""it""))"),"Copertura del raggio principale")</f>
        <v>Copertura del raggio principale</v>
      </c>
    </row>
    <row r="36" spans="1:6" ht="15.75" customHeight="1">
      <c r="A36" s="64"/>
      <c r="B36" s="65" t="s">
        <v>79</v>
      </c>
      <c r="C36" s="8" t="s">
        <v>80</v>
      </c>
      <c r="D36" s="6" t="str">
        <f ca="1">IFERROR(__xludf.DUMMYFUNCTION("GOOGLETRANSLATE(C36)"),"Guantera")</f>
        <v>Guantera</v>
      </c>
      <c r="E36" s="6" t="str">
        <f ca="1">IFERROR(__xludf.DUMMYFUNCTION("GOOGLETRANSLATE(D36,(""auto""),(""fr""))"),"Boite à gants")</f>
        <v>Boite à gants</v>
      </c>
      <c r="F36" s="6" t="str">
        <f ca="1">IFERROR(__xludf.DUMMYFUNCTION("GOOGLETRANSLATE(E36,(""auto""),(""it""))"),"Scatola di guanti")</f>
        <v>Scatola di guanti</v>
      </c>
    </row>
    <row r="37" spans="1:6" ht="15.75" customHeight="1">
      <c r="A37" s="64"/>
      <c r="B37" s="65" t="s">
        <v>81</v>
      </c>
      <c r="C37" s="8" t="s">
        <v>82</v>
      </c>
      <c r="D37" s="6" t="str">
        <f ca="1">IFERROR(__xludf.DUMMYFUNCTION("GOOGLETRANSLATE(C37)"),"Cubierta")</f>
        <v>Cubierta</v>
      </c>
      <c r="E37" s="6" t="str">
        <f ca="1">IFERROR(__xludf.DUMMYFUNCTION("GOOGLETRANSLATE(D37,(""auto""),(""fr""))"),"Pont")</f>
        <v>Pont</v>
      </c>
      <c r="F37" s="6" t="str">
        <f ca="1">IFERROR(__xludf.DUMMYFUNCTION("GOOGLETRANSLATE(E37,(""auto""),(""it""))"),"Punto")</f>
        <v>Punto</v>
      </c>
    </row>
    <row r="38" spans="1:6" ht="15.75" customHeight="1">
      <c r="A38" s="64"/>
      <c r="B38" s="65" t="s">
        <v>83</v>
      </c>
      <c r="C38" s="8" t="s">
        <v>84</v>
      </c>
      <c r="D38" s="6" t="str">
        <f ca="1">IFERROR(__xludf.DUMMYFUNCTION("GOOGLETRANSLATE(C38)"),"Cubierta trasera del faro")</f>
        <v>Cubierta trasera del faro</v>
      </c>
      <c r="E38" s="6" t="str">
        <f ca="1">IFERROR(__xludf.DUMMYFUNCTION("GOOGLETRANSLATE(D38,(""auto""),(""fr""))"),"Phare arrière")</f>
        <v>Phare arrière</v>
      </c>
      <c r="F38" s="6" t="str">
        <f ca="1">IFERROR(__xludf.DUMMYFUNCTION("GOOGLETRANSLATE(E38,(""auto""),(""it""))"),"Luce posteriore")</f>
        <v>Luce posteriore</v>
      </c>
    </row>
    <row r="39" spans="1:6" ht="15.75" customHeight="1">
      <c r="A39" s="64"/>
      <c r="B39" s="65" t="s">
        <v>85</v>
      </c>
      <c r="C39" s="8" t="s">
        <v>86</v>
      </c>
      <c r="D39" s="6" t="str">
        <f ca="1">IFERROR(__xludf.DUMMYFUNCTION("GOOGLETRANSLATE(C39)"),"Placa publicitaria izquierda/derecha")</f>
        <v>Placa publicitaria izquierda/derecha</v>
      </c>
      <c r="E39" s="6" t="str">
        <f ca="1">IFERROR(__xludf.DUMMYFUNCTION("GOOGLETRANSLATE(D39,(""auto""),(""fr""))"),"Assiette publicitaire gauche / droite")</f>
        <v>Assiette publicitaire gauche / droite</v>
      </c>
      <c r="F39" s="6" t="str">
        <f ca="1">IFERROR(__xludf.DUMMYFUNCTION("GOOGLETRANSLATE(E39,(""auto""),(""it""))"),"Piastra pubblicitaria sinistra / destra")</f>
        <v>Piastra pubblicitaria sinistra / destra</v>
      </c>
    </row>
    <row r="40" spans="1:6" ht="15.75" customHeight="1">
      <c r="A40" s="64"/>
      <c r="B40" s="65" t="s">
        <v>87</v>
      </c>
      <c r="C40" s="8" t="s">
        <v>88</v>
      </c>
      <c r="D40" s="6" t="str">
        <f ca="1">IFERROR(__xludf.DUMMYFUNCTION("GOOGLETRANSLATE(C40)"),"Cubierta inferior trasera")</f>
        <v>Cubierta inferior trasera</v>
      </c>
      <c r="E40" s="6" t="str">
        <f ca="1">IFERROR(__xludf.DUMMYFUNCTION("GOOGLETRANSLATE(D40,(""auto""),(""fr""))"),"Couvercle inférieur arrière")</f>
        <v>Couvercle inférieur arrière</v>
      </c>
      <c r="F40" s="6" t="str">
        <f ca="1">IFERROR(__xludf.DUMMYFUNCTION("GOOGLETRANSLATE(E40,(""auto""),(""it""))"),"Coperchio posteriore inferiore")</f>
        <v>Coperchio posteriore inferiore</v>
      </c>
    </row>
    <row r="41" spans="1:6" ht="15.75" customHeight="1">
      <c r="A41" s="64"/>
      <c r="B41" s="65" t="s">
        <v>89</v>
      </c>
      <c r="C41" s="8" t="s">
        <v>90</v>
      </c>
      <c r="D41" s="6" t="str">
        <f ca="1">IFERROR(__xludf.DUMMYFUNCTION("GOOGLETRANSLATE(C41)"),"Tapa inferior delantera")</f>
        <v>Tapa inferior delantera</v>
      </c>
      <c r="E41" s="6" t="str">
        <f ca="1">IFERROR(__xludf.DUMMYFUNCTION("GOOGLETRANSLATE(D41,(""auto""),(""fr""))"),"Couvercle inférieur avant")</f>
        <v>Couvercle inférieur avant</v>
      </c>
      <c r="F41" s="6" t="str">
        <f ca="1">IFERROR(__xludf.DUMMYFUNCTION("GOOGLETRANSLATE(E41,(""auto""),(""it""))"),"Coperchio anteriore inferiore")</f>
        <v>Coperchio anteriore inferiore</v>
      </c>
    </row>
    <row r="42" spans="1:6" ht="15.75" customHeight="1">
      <c r="A42" s="64"/>
      <c r="B42" s="65" t="s">
        <v>91</v>
      </c>
      <c r="C42" s="8" t="s">
        <v>92</v>
      </c>
      <c r="D42" s="6" t="str">
        <f ca="1">IFERROR(__xludf.DUMMYFUNCTION("GOOGLETRANSLATE(C42)"),"Cubierta inferior")</f>
        <v>Cubierta inferior</v>
      </c>
      <c r="E42" s="6" t="str">
        <f ca="1">IFERROR(__xludf.DUMMYFUNCTION("GOOGLETRANSLATE(D42,(""auto""),(""fr""))"),"Couvercle inférieur")</f>
        <v>Couvercle inférieur</v>
      </c>
      <c r="F42" s="6" t="str">
        <f ca="1">IFERROR(__xludf.DUMMYFUNCTION("GOOGLETRANSLATE(E42,(""auto""),(""it""))"),"Coperchio inferiore")</f>
        <v>Coperchio inferiore</v>
      </c>
    </row>
    <row r="43" spans="1:6" ht="15.75" customHeight="1">
      <c r="A43" s="64"/>
      <c r="B43" s="65" t="s">
        <v>93</v>
      </c>
      <c r="C43" s="8" t="s">
        <v>94</v>
      </c>
      <c r="D43" s="6" t="str">
        <f ca="1">IFERROR(__xludf.DUMMYFUNCTION("GOOGLETRANSLATE(C43)"),"Copa guía izquierda/derecha")</f>
        <v>Copa guía izquierda/derecha</v>
      </c>
      <c r="E43" s="6" t="str">
        <f ca="1">IFERROR(__xludf.DUMMYFUNCTION("GOOGLETRANSLATE(D43,(""auto""),(""fr""))"),"Guide gauche / droite")</f>
        <v>Guide gauche / droite</v>
      </c>
      <c r="F43" s="6" t="str">
        <f ca="1">IFERROR(__xludf.DUMMYFUNCTION("GOOGLETRANSLATE(E43,(""auto""),(""it""))"),"Guida sinistra / destra")</f>
        <v>Guida sinistra / destra</v>
      </c>
    </row>
    <row r="44" spans="1:6" ht="15.75" customHeight="1">
      <c r="A44" s="64"/>
      <c r="B44" s="65" t="s">
        <v>95</v>
      </c>
      <c r="C44" s="8" t="s">
        <v>96</v>
      </c>
      <c r="D44" s="6" t="str">
        <f ca="1">IFERROR(__xludf.DUMMYFUNCTION("GOOGLETRANSLATE(C44)"),"Cubierta central")</f>
        <v>Cubierta central</v>
      </c>
      <c r="E44" s="6" t="str">
        <f ca="1">IFERROR(__xludf.DUMMYFUNCTION("GOOGLETRANSLATE(D44,(""auto""),(""fr""))"),"Couverture centrale")</f>
        <v>Couverture centrale</v>
      </c>
      <c r="F44" s="6" t="str">
        <f ca="1">IFERROR(__xludf.DUMMYFUNCTION("GOOGLETRANSLATE(E44,(""auto""),(""it""))"),"Copertura centrale")</f>
        <v>Copertura centrale</v>
      </c>
    </row>
    <row r="45" spans="1:6" ht="15.75" customHeight="1">
      <c r="A45" s="64"/>
      <c r="B45" s="65" t="s">
        <v>97</v>
      </c>
      <c r="C45" s="8" t="s">
        <v>98</v>
      </c>
      <c r="D45" s="6" t="str">
        <f ca="1">IFERROR(__xludf.DUMMYFUNCTION("GOOGLETRANSLATE(C45)"),"Cubierta del cuerpo izquierdo/derecho")</f>
        <v>Cubierta del cuerpo izquierdo/derecho</v>
      </c>
      <c r="E45" s="6" t="str">
        <f ca="1">IFERROR(__xludf.DUMMYFUNCTION("GOOGLETRANSLATE(D45,(""auto""),(""fr""))"),"Couverture du corps gauche / droite")</f>
        <v>Couverture du corps gauche / droite</v>
      </c>
      <c r="F45" s="6" t="str">
        <f ca="1">IFERROR(__xludf.DUMMYFUNCTION("GOOGLETRANSLATE(E45,(""auto""),(""it""))"),"Copertura del corpo sinistra / destra")</f>
        <v>Copertura del corpo sinistra / destra</v>
      </c>
    </row>
    <row r="46" spans="1:6" ht="15.75" customHeight="1">
      <c r="A46" s="64"/>
      <c r="B46" s="65" t="s">
        <v>99</v>
      </c>
      <c r="C46" s="8" t="s">
        <v>100</v>
      </c>
      <c r="D46" s="6" t="str">
        <f ca="1">IFERROR(__xludf.DUMMYFUNCTION("GOOGLETRANSLATE(C46)"),"Cubierta trasera trasera")</f>
        <v>Cubierta trasera trasera</v>
      </c>
      <c r="E46" s="6" t="str">
        <f ca="1">IFERROR(__xludf.DUMMYFUNCTION("GOOGLETRANSLATE(D46,(""auto""),(""fr""))"),"Couvercle arrière")</f>
        <v>Couvercle arrière</v>
      </c>
      <c r="F46" s="6" t="str">
        <f ca="1">IFERROR(__xludf.DUMMYFUNCTION("GOOGLETRANSLATE(E46,(""auto""),(""it""))"),"Coperchio posteriore")</f>
        <v>Coperchio posteriore</v>
      </c>
    </row>
    <row r="47" spans="1:6" ht="15.75" customHeight="1">
      <c r="A47" s="64"/>
      <c r="B47" s="65" t="s">
        <v>101</v>
      </c>
      <c r="C47" s="8" t="s">
        <v>102</v>
      </c>
      <c r="D47" s="6" t="str">
        <f ca="1">IFERROR(__xludf.DUMMYFUNCTION("GOOGLETRANSLATE(C47)"),"Cubierta del compartimento de la batería")</f>
        <v>Cubierta del compartimento de la batería</v>
      </c>
      <c r="E47" s="6" t="str">
        <f ca="1">IFERROR(__xludf.DUMMYFUNCTION("GOOGLETRANSLATE(D47,(""auto""),(""fr""))"),"Couvercle du compartiment de batterie")</f>
        <v>Couvercle du compartiment de batterie</v>
      </c>
      <c r="F47" s="6" t="str">
        <f ca="1">IFERROR(__xludf.DUMMYFUNCTION("GOOGLETRANSLATE(E47,(""auto""),(""it""))"),"Coperchio compartimento della batteria")</f>
        <v>Coperchio compartimento della batteria</v>
      </c>
    </row>
    <row r="48" spans="1:6" ht="15.75" customHeight="1">
      <c r="A48" s="64"/>
      <c r="B48" s="65" t="s">
        <v>103</v>
      </c>
      <c r="C48" s="8" t="s">
        <v>104</v>
      </c>
      <c r="D48" s="6" t="str">
        <f ca="1">IFERROR(__xludf.DUMMYFUNCTION("GOOGLETRANSLATE(C48)"),"Caja de equipaje")</f>
        <v>Caja de equipaje</v>
      </c>
      <c r="E48" s="6" t="str">
        <f ca="1">IFERROR(__xludf.DUMMYFUNCTION("GOOGLETRANSLATE(D48,(""auto""),(""fr""))"),"Boîte à bagages")</f>
        <v>Boîte à bagages</v>
      </c>
      <c r="F48" s="6" t="str">
        <f ca="1">IFERROR(__xludf.DUMMYFUNCTION("GOOGLETRANSLATE(E48,(""auto""),(""it""))"),"BAGGIO BAGGI")</f>
        <v>BAGGIO BAGGI</v>
      </c>
    </row>
    <row r="49" spans="1:6" ht="15.75" customHeight="1">
      <c r="A49" s="64"/>
      <c r="B49" s="65" t="s">
        <v>105</v>
      </c>
      <c r="C49" s="8" t="s">
        <v>106</v>
      </c>
      <c r="D49" s="6" t="str">
        <f ca="1">IFERROR(__xludf.DUMMYFUNCTION("GOOGLETRANSLATE(C49)"),"Escudo del lado izquierdo/derecho")</f>
        <v>Escudo del lado izquierdo/derecho</v>
      </c>
      <c r="E49" s="6" t="str">
        <f ca="1">IFERROR(__xludf.DUMMYFUNCTION("GOOGLETRANSLATE(D49,(""auto""),(""fr""))"),"Bouclier sur le côté gauche / droit")</f>
        <v>Bouclier sur le côté gauche / droit</v>
      </c>
      <c r="F49" s="6" t="str">
        <f ca="1">IFERROR(__xludf.DUMMYFUNCTION("GOOGLETRANSLATE(E49,(""auto""),(""it""))"),"Scudo sul lato sinistro / destro")</f>
        <v>Scudo sul lato sinistro / destro</v>
      </c>
    </row>
    <row r="50" spans="1:6" ht="15.75" customHeight="1">
      <c r="A50" s="64"/>
      <c r="B50" s="65" t="s">
        <v>107</v>
      </c>
      <c r="C50" s="8" t="s">
        <v>108</v>
      </c>
      <c r="D50" s="6" t="str">
        <f ca="1">IFERROR(__xludf.DUMMYFUNCTION("GOOGLETRANSLATE(C50)"),"Freno de mano")</f>
        <v>Freno de mano</v>
      </c>
      <c r="E50" s="6" t="str">
        <f ca="1">IFERROR(__xludf.DUMMYFUNCTION("GOOGLETRANSLATE(D50,(""auto""),(""fr""))"),"Frein à main")</f>
        <v>Frein à main</v>
      </c>
      <c r="F50" s="6" t="str">
        <f ca="1">IFERROR(__xludf.DUMMYFUNCTION("GOOGLETRANSLATE(E50,(""auto""),(""it""))"),"Freno a mano")</f>
        <v>Freno a mano</v>
      </c>
    </row>
    <row r="51" spans="1:6" ht="15.75" customHeight="1">
      <c r="A51" s="64"/>
      <c r="B51" s="65" t="s">
        <v>109</v>
      </c>
      <c r="C51" s="8" t="s">
        <v>110</v>
      </c>
      <c r="D51" s="6" t="str">
        <f ca="1">IFERROR(__xludf.DUMMYFUNCTION("GOOGLETRANSLATE(C51)"),"CBS")</f>
        <v>CBS</v>
      </c>
      <c r="E51" s="6" t="str">
        <f ca="1">IFERROR(__xludf.DUMMYFUNCTION("GOOGLETRANSLATE(D51,(""auto""),(""fr""))"),"CBS")</f>
        <v>CBS</v>
      </c>
      <c r="F51" s="6" t="str">
        <f ca="1">IFERROR(__xludf.DUMMYFUNCTION("GOOGLETRANSLATE(E51,(""auto""),(""it""))"),"CBS")</f>
        <v>CBS</v>
      </c>
    </row>
    <row r="52" spans="1:6" ht="15.75" customHeight="1">
      <c r="A52" s="64"/>
      <c r="B52" s="65" t="s">
        <v>111</v>
      </c>
      <c r="C52" s="8" t="s">
        <v>112</v>
      </c>
      <c r="D52" s="6" t="str">
        <f ca="1">IFERROR(__xludf.DUMMYFUNCTION("GOOGLETRANSLATE(C52)"),"Guardabarros delantero")</f>
        <v>Guardabarros delantero</v>
      </c>
      <c r="E52" s="6" t="str">
        <f ca="1">IFERROR(__xludf.DUMMYFUNCTION("GOOGLETRANSLATE(D52,(""auto""),(""fr""))"),"Garde-boue avant")</f>
        <v>Garde-boue avant</v>
      </c>
      <c r="F52" s="6" t="str">
        <f ca="1">IFERROR(__xludf.DUMMYFUNCTION("GOOGLETRANSLATE(E52,(""auto""),(""it""))"),"Fender anteriore")</f>
        <v>Fender anteriore</v>
      </c>
    </row>
    <row r="53" spans="1:6" ht="15.75" customHeight="1">
      <c r="A53" s="64"/>
      <c r="B53" s="65" t="s">
        <v>113</v>
      </c>
      <c r="C53" s="8" t="s">
        <v>114</v>
      </c>
      <c r="D53" s="6" t="str">
        <f ca="1">IFERROR(__xludf.DUMMYFUNCTION("GOOGLETRANSLATE(C53)"),"Amortiguador trasero")</f>
        <v>Amortiguador trasero</v>
      </c>
      <c r="E53" s="6" t="str">
        <f ca="1">IFERROR(__xludf.DUMMYFUNCTION("GOOGLETRANSLATE(D53,(""auto""),(""fr""))"),"Amortisseur arrière")</f>
        <v>Amortisseur arrière</v>
      </c>
      <c r="F53" s="6" t="str">
        <f ca="1">IFERROR(__xludf.DUMMYFUNCTION("GOOGLETRANSLATE(E53,(""auto""),(""it""))"),"Shock per ammortizzatore posteriore")</f>
        <v>Shock per ammortizzatore posteriore</v>
      </c>
    </row>
    <row r="54" spans="1:6" ht="15.75" customHeight="1">
      <c r="A54" s="64"/>
      <c r="B54" s="65" t="s">
        <v>115</v>
      </c>
      <c r="C54" s="8" t="s">
        <v>116</v>
      </c>
      <c r="D54" s="6" t="str">
        <f ca="1">IFERROR(__xludf.DUMMYFUNCTION("GOOGLETRANSLATE(C54)"),"Guardabarros trasero")</f>
        <v>Guardabarros trasero</v>
      </c>
      <c r="E54" s="6" t="str">
        <f ca="1">IFERROR(__xludf.DUMMYFUNCTION("GOOGLETRANSLATE(D54,(""auto""),(""fr""))"),"Garde-boue arrière")</f>
        <v>Garde-boue arrière</v>
      </c>
      <c r="F54" s="6" t="str">
        <f ca="1">IFERROR(__xludf.DUMMYFUNCTION("GOOGLETRANSLATE(E54,(""auto""),(""it""))"),"Posteriore in grassetto")</f>
        <v>Posteriore in grassetto</v>
      </c>
    </row>
    <row r="55" spans="1:6" ht="15.75" customHeight="1">
      <c r="A55" s="64"/>
      <c r="B55" s="65" t="s">
        <v>117</v>
      </c>
      <c r="C55" s="8" t="s">
        <v>118</v>
      </c>
      <c r="D55" s="6" t="str">
        <f ca="1">IFERROR(__xludf.DUMMYFUNCTION("GOOGLETRANSLATE(C55)"),"Soporte de guardabarros traseros")</f>
        <v>Soporte de guardabarros traseros</v>
      </c>
      <c r="E55" s="6" t="str">
        <f ca="1">IFERROR(__xludf.DUMMYFUNCTION("GOOGLETRANSLATE(D55,(""auto""),(""fr""))"),"Support d'avender arrière")</f>
        <v>Support d'avender arrière</v>
      </c>
      <c r="F55" s="6" t="str">
        <f ca="1">IFERROR(__xludf.DUMMYFUNCTION("GOOGLETRANSLATE(E55,(""auto""),(""it""))"),"Supporto posteriore AVENDER")</f>
        <v>Supporto posteriore AVENDER</v>
      </c>
    </row>
    <row r="56" spans="1:6" ht="15.75" customHeight="1">
      <c r="A56" s="64"/>
      <c r="B56" s="65" t="s">
        <v>119</v>
      </c>
      <c r="C56" s="8" t="s">
        <v>120</v>
      </c>
      <c r="D56" s="6" t="str">
        <f ca="1">IFERROR(__xludf.DUMMYFUNCTION("GOOGLETRANSLATE(C56)"),"Asunto de la rueda trasera")</f>
        <v>Asunto de la rueda trasera</v>
      </c>
      <c r="E56" s="6" t="str">
        <f ca="1">IFERROR(__xludf.DUMMYFUNCTION("GOOGLETRANSLATE(D56,(""auto""),(""fr""))"),"Roue arrière")</f>
        <v>Roue arrière</v>
      </c>
      <c r="F56" s="6" t="str">
        <f ca="1">IFERROR(__xludf.DUMMYFUNCTION("GOOGLETRANSLATE(E56,(""auto""),(""it""))"),"Ruota posteriore")</f>
        <v>Ruota posteriore</v>
      </c>
    </row>
    <row r="57" spans="1:6" ht="15.75" customHeight="1">
      <c r="A57" s="64"/>
      <c r="B57" s="65" t="s">
        <v>121</v>
      </c>
      <c r="C57" s="8" t="s">
        <v>122</v>
      </c>
      <c r="D57" s="6" t="str">
        <f ca="1">IFERROR(__xludf.DUMMYFUNCTION("GOOGLETRANSLATE(C57)"),"Agarre del mango izquierdo")</f>
        <v>Agarre del mango izquierdo</v>
      </c>
      <c r="E57" s="6" t="str">
        <f ca="1">IFERROR(__xludf.DUMMYFUNCTION("GOOGLETRANSLATE(D57,(""auto""),(""fr""))"),"Poignée gauche")</f>
        <v>Poignée gauche</v>
      </c>
      <c r="F57" s="6" t="str">
        <f ca="1">IFERROR(__xludf.DUMMYFUNCTION("GOOGLETRANSLATE(E57,(""auto""),(""it""))"),"Maniglia sinistra")</f>
        <v>Maniglia sinistra</v>
      </c>
    </row>
    <row r="58" spans="1:6" ht="15.75" customHeight="1">
      <c r="A58" s="64"/>
      <c r="B58" s="65" t="s">
        <v>123</v>
      </c>
      <c r="C58" s="8" t="s">
        <v>124</v>
      </c>
      <c r="D58" s="6" t="str">
        <f ca="1">IFERROR(__xludf.DUMMYFUNCTION("GOOGLETRANSLATE(C58)"),"Manillar")</f>
        <v>Manillar</v>
      </c>
      <c r="E58" s="6" t="str">
        <f ca="1">IFERROR(__xludf.DUMMYFUNCTION("GOOGLETRANSLATE(D58,(""auto""),(""fr""))"),"Guidon")</f>
        <v>Guidon</v>
      </c>
      <c r="F58" s="6" t="str">
        <f ca="1">IFERROR(__xludf.DUMMYFUNCTION("GOOGLETRANSLATE(E58,(""auto""),(""it""))"),"Manubrio")</f>
        <v>Manubrio</v>
      </c>
    </row>
    <row r="59" spans="1:6" ht="15.75" customHeight="1">
      <c r="A59" s="64"/>
      <c r="B59" s="65" t="s">
        <v>125</v>
      </c>
      <c r="C59" s="8" t="s">
        <v>126</v>
      </c>
      <c r="D59" s="6" t="str">
        <f ca="1">IFERROR(__xludf.DUMMYFUNCTION("GOOGLETRANSLATE(C59)"),"Post Comp, Hanlde")</f>
        <v>Post Comp, Hanlde</v>
      </c>
      <c r="E59" s="6" t="str">
        <f ca="1">IFERROR(__xludf.DUMMYFUNCTION("GOOGLETRANSLATE(D59,(""auto""),(""fr""))"),"Post Comp, Hanlde")</f>
        <v>Post Comp, Hanlde</v>
      </c>
      <c r="F59" s="6" t="str">
        <f ca="1">IFERROR(__xludf.DUMMYFUNCTION("GOOGLETRANSLATE(E59,(""auto""),(""it""))"),"Post comp, hanlde")</f>
        <v>Post comp, hanlde</v>
      </c>
    </row>
    <row r="60" spans="1:6" ht="15.75" customHeight="1">
      <c r="A60" s="64"/>
      <c r="B60" s="65" t="s">
        <v>127</v>
      </c>
      <c r="C60" s="8" t="s">
        <v>128</v>
      </c>
      <c r="D60" s="6" t="str">
        <f ca="1">IFERROR(__xludf.DUMMYFUNCTION("GOOGLETRANSLATE(C60)"),"Tallo de dirección")</f>
        <v>Tallo de dirección</v>
      </c>
      <c r="E60" s="6" t="str">
        <f ca="1">IFERROR(__xludf.DUMMYFUNCTION("GOOGLETRANSLATE(D60,(""auto""),(""fr""))"),"Tige de gestion")</f>
        <v>Tige de gestion</v>
      </c>
      <c r="F60" s="6" t="str">
        <f ca="1">IFERROR(__xludf.DUMMYFUNCTION("GOOGLETRANSLATE(E60,(""auto""),(""it""))"),"Asta di gestione")</f>
        <v>Asta di gestione</v>
      </c>
    </row>
    <row r="61" spans="1:6" ht="15.75" customHeight="1">
      <c r="A61" s="64"/>
      <c r="B61" s="65" t="s">
        <v>129</v>
      </c>
      <c r="C61" s="8" t="s">
        <v>130</v>
      </c>
      <c r="D61" s="6" t="str">
        <f ca="1">IFERROR(__xludf.DUMMYFUNCTION("GOOGLETRANSLATE(C61)"),"Bloqueo del vehículo")</f>
        <v>Bloqueo del vehículo</v>
      </c>
      <c r="E61" s="6" t="str">
        <f ca="1">IFERROR(__xludf.DUMMYFUNCTION("GOOGLETRANSLATE(D61,(""auto""),(""fr""))"),"Verrouillage de véhicule")</f>
        <v>Verrouillage de véhicule</v>
      </c>
      <c r="F61" s="6" t="str">
        <f ca="1">IFERROR(__xludf.DUMMYFUNCTION("GOOGLETRANSLATE(E61,(""auto""),(""it""))"),"Blocco del veicolo")</f>
        <v>Blocco del veicolo</v>
      </c>
    </row>
    <row r="62" spans="1:6" ht="15.75" customHeight="1">
      <c r="A62" s="64"/>
      <c r="B62" s="65" t="s">
        <v>131</v>
      </c>
      <c r="C62" s="8" t="s">
        <v>132</v>
      </c>
      <c r="D62" s="6" t="str">
        <f ca="1">IFERROR(__xludf.DUMMYFUNCTION("GOOGLETRANSLATE(C62)"),"Amortiguador delantero")</f>
        <v>Amortiguador delantero</v>
      </c>
      <c r="E62" s="6" t="str">
        <f ca="1">IFERROR(__xludf.DUMMYFUNCTION("GOOGLETRANSLATE(D62,(""auto""),(""fr""))"),"Amortisseur avant")</f>
        <v>Amortisseur avant</v>
      </c>
      <c r="F62" s="6" t="str">
        <f ca="1">IFERROR(__xludf.DUMMYFUNCTION("GOOGLETRANSLATE(E62,(""auto""),(""it""))"),"Shock ammortizzatore frontale")</f>
        <v>Shock ammortizzatore frontale</v>
      </c>
    </row>
    <row r="63" spans="1:6" ht="15.75" customHeight="1">
      <c r="A63" s="64"/>
      <c r="B63" s="65" t="s">
        <v>133</v>
      </c>
      <c r="C63" s="8" t="s">
        <v>134</v>
      </c>
      <c r="D63" s="6" t="str">
        <f ca="1">IFERROR(__xludf.DUMMYFUNCTION("GOOGLETRANSLATE(C63)"),"Ensy de la rueda delantera")</f>
        <v>Ensy de la rueda delantera</v>
      </c>
      <c r="E63" s="6" t="str">
        <f ca="1">IFERROR(__xludf.DUMMYFUNCTION("GOOGLETRANSLATE(D63,(""auto""),(""fr""))"),"Roue avant de l'enty")</f>
        <v>Roue avant de l'enty</v>
      </c>
      <c r="F63" s="6" t="str">
        <f ca="1">IFERROR(__xludf.DUMMYFUNCTION("GOOGLETRANSLATE(E63,(""auto""),(""it""))"),"Ruota anteriore enty")</f>
        <v>Ruota anteriore enty</v>
      </c>
    </row>
    <row r="64" spans="1:6" ht="15.75" customHeight="1">
      <c r="A64" s="64"/>
      <c r="B64" s="65" t="s">
        <v>135</v>
      </c>
      <c r="C64" s="8" t="s">
        <v>136</v>
      </c>
      <c r="D64" s="6" t="str">
        <f ca="1">IFERROR(__xludf.DUMMYFUNCTION("GOOGLETRANSLATE(C64)"),"Costado")</f>
        <v>Costado</v>
      </c>
      <c r="E64" s="6" t="str">
        <f ca="1">IFERROR(__xludf.DUMMYFUNCTION("GOOGLETRANSLATE(D64,(""auto""),(""fr""))"),"Stand de côté")</f>
        <v>Stand de côté</v>
      </c>
      <c r="F64" s="6" t="str">
        <f ca="1">IFERROR(__xludf.DUMMYFUNCTION("GOOGLETRANSLATE(E64,(""auto""),(""it""))"),"Supporto laterale")</f>
        <v>Supporto laterale</v>
      </c>
    </row>
    <row r="65" spans="1:6" ht="15.75" customHeight="1">
      <c r="A65" s="64"/>
      <c r="B65" s="65" t="s">
        <v>137</v>
      </c>
      <c r="C65" s="8" t="s">
        <v>138</v>
      </c>
      <c r="D65" s="6" t="str">
        <f ca="1">IFERROR(__xludf.DUMMYFUNCTION("GOOGLETRANSLATE(C65)"),"Parada principal")</f>
        <v>Parada principal</v>
      </c>
      <c r="E65" s="6" t="str">
        <f ca="1">IFERROR(__xludf.DUMMYFUNCTION("GOOGLETRANSLATE(D65,(""auto""),(""fr""))"),"Arrêt principal")</f>
        <v>Arrêt principal</v>
      </c>
      <c r="F65" s="6" t="str">
        <f ca="1">IFERROR(__xludf.DUMMYFUNCTION("GOOGLETRANSLATE(E65,(""auto""),(""it""))"),"Stopi principale")</f>
        <v>Stopi principale</v>
      </c>
    </row>
    <row r="66" spans="1:6" ht="15.75" customHeight="1">
      <c r="A66" s="64"/>
      <c r="B66" s="65" t="s">
        <v>139</v>
      </c>
      <c r="C66" s="8" t="s">
        <v>140</v>
      </c>
      <c r="D66" s="6" t="str">
        <f ca="1">IFERROR(__xludf.DUMMYFUNCTION("GOOGLETRANSLATE(C66)"),"Disco de freno delantero/trasero")</f>
        <v>Disco de freno delantero/trasero</v>
      </c>
      <c r="E66" s="6" t="str">
        <f ca="1">IFERROR(__xludf.DUMMYFUNCTION("GOOGLETRANSLATE(D66,(""auto""),(""fr""))"),"Disque de frein avant / arrière")</f>
        <v>Disque de frein avant / arrière</v>
      </c>
      <c r="F66" s="6" t="str">
        <f ca="1">IFERROR(__xludf.DUMMYFUNCTION("GOOGLETRANSLATE(E66,(""auto""),(""it""))"),"Disco freno anteriore / posteriore")</f>
        <v>Disco freno anteriore / posteriore</v>
      </c>
    </row>
    <row r="67" spans="1:6" ht="15.75" customHeight="1">
      <c r="A67" s="6"/>
      <c r="B67" s="6"/>
      <c r="C67" s="6"/>
      <c r="D67" s="6"/>
      <c r="E67" s="6"/>
      <c r="F67" s="6"/>
    </row>
    <row r="68" spans="1:6" ht="15.75" customHeight="1">
      <c r="A68" s="6"/>
      <c r="B68" s="6"/>
      <c r="C68" s="6"/>
      <c r="D68" s="6"/>
      <c r="E68" s="6"/>
      <c r="F68" s="6"/>
    </row>
    <row r="69" spans="1:6" ht="15.75" customHeight="1">
      <c r="A69" s="6"/>
      <c r="B69" s="6"/>
      <c r="C69" s="6"/>
      <c r="D69" s="6"/>
      <c r="E69" s="6"/>
      <c r="F69" s="6"/>
    </row>
    <row r="70" spans="1:6" ht="15.75" customHeight="1">
      <c r="A70" s="6"/>
      <c r="B70" s="6"/>
      <c r="C70" s="6"/>
      <c r="D70" s="6"/>
      <c r="E70" s="6"/>
      <c r="F70" s="6"/>
    </row>
    <row r="71" spans="1:6" ht="15.75" customHeight="1">
      <c r="A71" s="6"/>
      <c r="B71" s="6"/>
      <c r="C71" s="6"/>
      <c r="D71" s="6"/>
      <c r="E71" s="6"/>
      <c r="F71" s="6"/>
    </row>
    <row r="72" spans="1:6" ht="15.75" customHeight="1">
      <c r="A72" s="6"/>
      <c r="B72" s="6"/>
      <c r="C72" s="6"/>
      <c r="D72" s="6"/>
      <c r="E72" s="6"/>
      <c r="F72" s="6"/>
    </row>
    <row r="73" spans="1:6" ht="15.75" customHeight="1">
      <c r="A73" s="6"/>
      <c r="B73" s="6"/>
      <c r="C73" s="6"/>
      <c r="D73" s="6"/>
      <c r="E73" s="6"/>
      <c r="F73" s="6"/>
    </row>
    <row r="74" spans="1:6" ht="15.75" customHeight="1">
      <c r="A74" s="6"/>
      <c r="B74" s="6"/>
      <c r="C74" s="6"/>
      <c r="D74" s="6"/>
      <c r="E74" s="6"/>
      <c r="F74" s="6"/>
    </row>
    <row r="75" spans="1:6" ht="15.75" customHeight="1">
      <c r="A75" s="6"/>
      <c r="B75" s="6"/>
      <c r="C75" s="6"/>
      <c r="D75" s="6"/>
      <c r="E75" s="6"/>
      <c r="F75" s="6"/>
    </row>
    <row r="76" spans="1:6" ht="15.75" customHeight="1">
      <c r="A76" s="6"/>
      <c r="B76" s="6"/>
      <c r="C76" s="6"/>
      <c r="D76" s="6"/>
      <c r="E76" s="6"/>
      <c r="F76" s="6"/>
    </row>
    <row r="77" spans="1:6" ht="15.75" customHeight="1">
      <c r="A77" s="6"/>
      <c r="B77" s="6"/>
      <c r="C77" s="6"/>
      <c r="D77" s="6"/>
      <c r="E77" s="6"/>
      <c r="F77" s="6"/>
    </row>
    <row r="78" spans="1:6" ht="15.75" customHeight="1">
      <c r="A78" s="6"/>
      <c r="B78" s="6"/>
      <c r="C78" s="6"/>
      <c r="D78" s="6"/>
      <c r="E78" s="6"/>
      <c r="F78" s="6"/>
    </row>
    <row r="79" spans="1:6" ht="15.75" customHeight="1">
      <c r="A79" s="6"/>
      <c r="B79" s="6"/>
      <c r="C79" s="6"/>
      <c r="D79" s="6"/>
      <c r="E79" s="6"/>
      <c r="F79" s="6"/>
    </row>
    <row r="80" spans="1:6" ht="15.75" customHeight="1">
      <c r="A80" s="6"/>
      <c r="B80" s="6"/>
      <c r="C80" s="6"/>
      <c r="D80" s="6"/>
      <c r="E80" s="6"/>
      <c r="F80" s="6"/>
    </row>
    <row r="81" spans="1:6" ht="15.75" customHeight="1">
      <c r="A81" s="6"/>
      <c r="B81" s="6"/>
      <c r="C81" s="6"/>
      <c r="D81" s="6"/>
      <c r="E81" s="6"/>
      <c r="F81" s="6"/>
    </row>
    <row r="82" spans="1:6" ht="15.75" customHeight="1">
      <c r="A82" s="6"/>
      <c r="B82" s="6"/>
      <c r="C82" s="6"/>
      <c r="D82" s="6"/>
      <c r="E82" s="6"/>
      <c r="F82" s="6"/>
    </row>
    <row r="83" spans="1:6" ht="15.75" customHeight="1">
      <c r="A83" s="6"/>
      <c r="B83" s="6"/>
      <c r="C83" s="6"/>
      <c r="D83" s="6"/>
      <c r="E83" s="6"/>
      <c r="F83" s="6"/>
    </row>
    <row r="84" spans="1:6" ht="15.75" customHeight="1">
      <c r="A84" s="6"/>
      <c r="B84" s="6"/>
      <c r="C84" s="6"/>
      <c r="D84" s="6"/>
      <c r="E84" s="6"/>
      <c r="F84" s="6"/>
    </row>
    <row r="85" spans="1:6" ht="15.75" customHeight="1">
      <c r="A85" s="6"/>
      <c r="B85" s="6"/>
      <c r="C85" s="6"/>
      <c r="D85" s="6"/>
      <c r="E85" s="6"/>
      <c r="F85" s="6"/>
    </row>
    <row r="86" spans="1:6" ht="15.75" customHeight="1">
      <c r="A86" s="6"/>
      <c r="B86" s="6"/>
      <c r="C86" s="6"/>
      <c r="D86" s="6"/>
      <c r="E86" s="6"/>
      <c r="F86" s="6"/>
    </row>
    <row r="87" spans="1:6" ht="15.75" customHeight="1">
      <c r="A87" s="6"/>
      <c r="B87" s="6"/>
      <c r="C87" s="6"/>
      <c r="D87" s="6"/>
      <c r="E87" s="6"/>
      <c r="F87" s="6"/>
    </row>
    <row r="88" spans="1:6" ht="15.75" customHeight="1">
      <c r="A88" s="6"/>
      <c r="B88" s="6"/>
      <c r="C88" s="6"/>
      <c r="D88" s="6"/>
      <c r="E88" s="6"/>
      <c r="F88" s="6"/>
    </row>
    <row r="89" spans="1:6" ht="15.75" customHeight="1">
      <c r="A89" s="6"/>
      <c r="B89" s="6"/>
      <c r="C89" s="6"/>
      <c r="D89" s="6"/>
      <c r="E89" s="6"/>
      <c r="F89" s="6"/>
    </row>
    <row r="90" spans="1:6" ht="15.75" customHeight="1">
      <c r="A90" s="6"/>
      <c r="B90" s="6"/>
      <c r="C90" s="6"/>
      <c r="D90" s="6"/>
      <c r="E90" s="6"/>
      <c r="F90" s="6"/>
    </row>
    <row r="91" spans="1:6" ht="15.75" customHeight="1">
      <c r="A91" s="6"/>
      <c r="B91" s="6"/>
      <c r="C91" s="6"/>
      <c r="D91" s="6"/>
      <c r="E91" s="6"/>
      <c r="F91" s="6"/>
    </row>
    <row r="92" spans="1:6" ht="15.75" customHeight="1">
      <c r="A92" s="6"/>
      <c r="B92" s="6"/>
      <c r="C92" s="6"/>
      <c r="D92" s="6"/>
      <c r="E92" s="6"/>
      <c r="F92" s="6"/>
    </row>
    <row r="93" spans="1:6" ht="15.75" customHeight="1">
      <c r="A93" s="6"/>
      <c r="B93" s="6"/>
      <c r="C93" s="6"/>
      <c r="D93" s="6"/>
      <c r="E93" s="6"/>
      <c r="F93" s="6"/>
    </row>
    <row r="94" spans="1:6" ht="15.75" customHeight="1">
      <c r="A94" s="6"/>
      <c r="B94" s="6"/>
      <c r="C94" s="6"/>
      <c r="D94" s="6"/>
      <c r="E94" s="6"/>
      <c r="F94" s="6"/>
    </row>
    <row r="95" spans="1:6" ht="15.75" customHeight="1">
      <c r="A95" s="6"/>
      <c r="B95" s="6"/>
      <c r="C95" s="6"/>
      <c r="D95" s="6"/>
      <c r="E95" s="6"/>
      <c r="F95" s="6"/>
    </row>
    <row r="96" spans="1:6" ht="15.75" customHeight="1">
      <c r="A96" s="6"/>
      <c r="B96" s="6"/>
      <c r="C96" s="6"/>
      <c r="D96" s="6"/>
      <c r="E96" s="6"/>
      <c r="F96" s="6"/>
    </row>
    <row r="97" spans="1:6" ht="15.75" customHeight="1">
      <c r="A97" s="6"/>
      <c r="B97" s="6"/>
      <c r="C97" s="6"/>
      <c r="D97" s="6"/>
      <c r="E97" s="6"/>
      <c r="F97" s="6"/>
    </row>
    <row r="98" spans="1:6" ht="15.75" customHeight="1">
      <c r="A98" s="6"/>
      <c r="B98" s="6"/>
      <c r="C98" s="6"/>
      <c r="D98" s="6"/>
      <c r="E98" s="6"/>
      <c r="F98" s="6"/>
    </row>
    <row r="99" spans="1:6" ht="15.75" customHeight="1">
      <c r="A99" s="6"/>
      <c r="B99" s="6"/>
      <c r="C99" s="6"/>
      <c r="D99" s="6"/>
      <c r="E99" s="6"/>
      <c r="F99" s="6"/>
    </row>
    <row r="100" spans="1:6" ht="15.75" customHeight="1">
      <c r="A100" s="6"/>
      <c r="B100" s="6"/>
      <c r="C100" s="6"/>
      <c r="D100" s="6"/>
      <c r="E100" s="6"/>
      <c r="F100" s="6"/>
    </row>
    <row r="101" spans="1:6" ht="15.75" customHeight="1">
      <c r="A101" s="6"/>
      <c r="B101" s="6"/>
      <c r="C101" s="6"/>
      <c r="D101" s="6"/>
      <c r="E101" s="6"/>
      <c r="F101" s="6"/>
    </row>
    <row r="102" spans="1:6" ht="15.75" customHeight="1">
      <c r="A102" s="6"/>
      <c r="B102" s="6"/>
      <c r="C102" s="6"/>
      <c r="D102" s="6"/>
      <c r="E102" s="6"/>
      <c r="F102" s="6"/>
    </row>
    <row r="103" spans="1:6" ht="15.75" customHeight="1">
      <c r="A103" s="6"/>
      <c r="B103" s="6"/>
      <c r="C103" s="6"/>
      <c r="D103" s="6"/>
      <c r="E103" s="6"/>
      <c r="F103" s="6"/>
    </row>
    <row r="104" spans="1:6" ht="15.75" customHeight="1">
      <c r="A104" s="6"/>
      <c r="B104" s="6"/>
      <c r="C104" s="6"/>
      <c r="D104" s="6"/>
      <c r="E104" s="6"/>
      <c r="F104" s="6"/>
    </row>
    <row r="105" spans="1:6" ht="15.75" customHeight="1">
      <c r="A105" s="6"/>
      <c r="B105" s="6"/>
      <c r="C105" s="6"/>
      <c r="D105" s="6"/>
      <c r="E105" s="6"/>
      <c r="F105" s="6"/>
    </row>
    <row r="106" spans="1:6" ht="15.75" customHeight="1">
      <c r="A106" s="6"/>
      <c r="B106" s="6"/>
      <c r="C106" s="6"/>
      <c r="D106" s="6"/>
      <c r="E106" s="6"/>
      <c r="F106" s="6"/>
    </row>
    <row r="107" spans="1:6" ht="15.75" customHeight="1">
      <c r="A107" s="6"/>
      <c r="B107" s="6"/>
      <c r="C107" s="6"/>
      <c r="D107" s="6"/>
      <c r="E107" s="6"/>
      <c r="F107" s="6"/>
    </row>
    <row r="108" spans="1:6" ht="15.75" customHeight="1">
      <c r="A108" s="6"/>
      <c r="B108" s="6"/>
      <c r="C108" s="6"/>
      <c r="D108" s="6"/>
      <c r="E108" s="6"/>
      <c r="F108" s="6"/>
    </row>
    <row r="109" spans="1:6" ht="15.75" customHeight="1">
      <c r="A109" s="6"/>
      <c r="B109" s="6"/>
      <c r="C109" s="6"/>
      <c r="D109" s="6"/>
      <c r="E109" s="6"/>
      <c r="F109" s="6"/>
    </row>
    <row r="110" spans="1:6" ht="15.75" customHeight="1">
      <c r="A110" s="6"/>
      <c r="B110" s="6"/>
      <c r="C110" s="6"/>
      <c r="D110" s="6"/>
      <c r="E110" s="6"/>
      <c r="F110" s="6"/>
    </row>
    <row r="111" spans="1:6" ht="15.75" customHeight="1">
      <c r="A111" s="6"/>
      <c r="B111" s="6"/>
      <c r="C111" s="6"/>
      <c r="D111" s="6"/>
      <c r="E111" s="6"/>
      <c r="F111" s="6"/>
    </row>
    <row r="112" spans="1:6" ht="15.75" customHeight="1">
      <c r="A112" s="6"/>
      <c r="B112" s="6"/>
      <c r="C112" s="6"/>
      <c r="D112" s="6"/>
      <c r="E112" s="6"/>
      <c r="F112" s="6"/>
    </row>
    <row r="113" spans="1:6" ht="15.75" customHeight="1">
      <c r="A113" s="6"/>
      <c r="B113" s="6"/>
      <c r="C113" s="6"/>
      <c r="D113" s="6"/>
      <c r="E113" s="6"/>
      <c r="F113" s="6"/>
    </row>
    <row r="114" spans="1:6" ht="15.75" customHeight="1">
      <c r="A114" s="6"/>
      <c r="B114" s="6"/>
      <c r="C114" s="6"/>
      <c r="D114" s="6"/>
      <c r="E114" s="6"/>
      <c r="F114" s="6"/>
    </row>
    <row r="115" spans="1:6" ht="15.75" customHeight="1">
      <c r="A115" s="6"/>
      <c r="B115" s="6"/>
      <c r="C115" s="6"/>
      <c r="D115" s="6"/>
      <c r="E115" s="6"/>
      <c r="F115" s="6"/>
    </row>
    <row r="116" spans="1:6" ht="15.75" customHeight="1">
      <c r="A116" s="6"/>
      <c r="B116" s="6"/>
      <c r="C116" s="6"/>
      <c r="D116" s="6"/>
      <c r="E116" s="6"/>
      <c r="F116" s="6"/>
    </row>
    <row r="117" spans="1:6" ht="15.75" customHeight="1">
      <c r="A117" s="6"/>
      <c r="B117" s="6"/>
      <c r="C117" s="6"/>
      <c r="D117" s="6"/>
      <c r="E117" s="6"/>
      <c r="F117" s="6"/>
    </row>
    <row r="118" spans="1:6" ht="15.75" customHeight="1">
      <c r="A118" s="6"/>
      <c r="B118" s="6"/>
      <c r="C118" s="6"/>
      <c r="D118" s="6"/>
      <c r="E118" s="6"/>
      <c r="F118" s="6"/>
    </row>
    <row r="119" spans="1:6" ht="15.75" customHeight="1">
      <c r="A119" s="6"/>
      <c r="B119" s="6"/>
      <c r="C119" s="6"/>
      <c r="D119" s="6"/>
      <c r="E119" s="6"/>
      <c r="F119" s="6"/>
    </row>
    <row r="120" spans="1:6" ht="15.75" customHeight="1">
      <c r="A120" s="6"/>
      <c r="B120" s="6"/>
      <c r="C120" s="6"/>
      <c r="D120" s="6"/>
      <c r="E120" s="6"/>
      <c r="F120" s="6"/>
    </row>
    <row r="121" spans="1:6" ht="15.75" customHeight="1">
      <c r="A121" s="6"/>
      <c r="B121" s="6"/>
      <c r="C121" s="6"/>
      <c r="D121" s="6"/>
      <c r="E121" s="6"/>
      <c r="F121" s="6"/>
    </row>
    <row r="122" spans="1:6" ht="15.75" customHeight="1">
      <c r="A122" s="6"/>
      <c r="B122" s="6"/>
      <c r="C122" s="6"/>
      <c r="D122" s="6"/>
      <c r="E122" s="6"/>
      <c r="F122" s="6"/>
    </row>
    <row r="123" spans="1:6" ht="15.75" customHeight="1">
      <c r="A123" s="6"/>
      <c r="B123" s="6"/>
      <c r="C123" s="6"/>
      <c r="D123" s="6"/>
      <c r="E123" s="6"/>
      <c r="F123" s="6"/>
    </row>
    <row r="124" spans="1:6" ht="15.75" customHeight="1">
      <c r="A124" s="6"/>
      <c r="B124" s="6"/>
      <c r="C124" s="6"/>
      <c r="D124" s="6"/>
      <c r="E124" s="6"/>
      <c r="F124" s="6"/>
    </row>
    <row r="125" spans="1:6" ht="15.75" customHeight="1">
      <c r="A125" s="6"/>
      <c r="B125" s="6"/>
      <c r="C125" s="6"/>
      <c r="D125" s="6"/>
      <c r="E125" s="6"/>
      <c r="F125" s="6"/>
    </row>
    <row r="126" spans="1:6" ht="15.75" customHeight="1">
      <c r="A126" s="6"/>
      <c r="B126" s="6"/>
      <c r="C126" s="6"/>
      <c r="D126" s="6"/>
      <c r="E126" s="6"/>
      <c r="F126" s="6"/>
    </row>
    <row r="127" spans="1:6" ht="15.75" customHeight="1">
      <c r="A127" s="6"/>
      <c r="B127" s="6"/>
      <c r="C127" s="6"/>
      <c r="D127" s="6"/>
      <c r="E127" s="6"/>
      <c r="F127" s="6"/>
    </row>
    <row r="128" spans="1:6" ht="15.75" customHeight="1">
      <c r="A128" s="6"/>
      <c r="B128" s="6"/>
      <c r="C128" s="6"/>
      <c r="D128" s="6"/>
      <c r="E128" s="6"/>
      <c r="F128" s="6"/>
    </row>
    <row r="129" spans="1:6" ht="15.75" customHeight="1">
      <c r="A129" s="6"/>
      <c r="B129" s="6"/>
      <c r="C129" s="6"/>
      <c r="D129" s="6"/>
      <c r="E129" s="6"/>
      <c r="F129" s="6"/>
    </row>
    <row r="130" spans="1:6" ht="15.75" customHeight="1">
      <c r="A130" s="6"/>
      <c r="B130" s="6"/>
      <c r="C130" s="6"/>
      <c r="D130" s="6"/>
      <c r="E130" s="6"/>
      <c r="F130" s="6"/>
    </row>
    <row r="131" spans="1:6" ht="15.75" customHeight="1">
      <c r="A131" s="6"/>
      <c r="B131" s="6"/>
      <c r="C131" s="6"/>
      <c r="D131" s="6"/>
      <c r="E131" s="6"/>
      <c r="F131" s="6"/>
    </row>
    <row r="132" spans="1:6" ht="15.75" customHeight="1">
      <c r="A132" s="6"/>
      <c r="B132" s="6"/>
      <c r="C132" s="6"/>
      <c r="D132" s="6"/>
      <c r="E132" s="6"/>
      <c r="F132" s="6"/>
    </row>
    <row r="133" spans="1:6" ht="15.75" customHeight="1">
      <c r="A133" s="6"/>
      <c r="B133" s="6"/>
      <c r="C133" s="6"/>
      <c r="D133" s="6"/>
      <c r="E133" s="6"/>
      <c r="F133" s="6"/>
    </row>
    <row r="134" spans="1:6" ht="15.75" customHeight="1">
      <c r="A134" s="6"/>
      <c r="B134" s="6"/>
      <c r="C134" s="6"/>
      <c r="D134" s="6"/>
      <c r="E134" s="6"/>
      <c r="F134" s="6"/>
    </row>
    <row r="135" spans="1:6" ht="15.75" customHeight="1">
      <c r="A135" s="6"/>
      <c r="B135" s="6"/>
      <c r="C135" s="6"/>
      <c r="D135" s="6"/>
      <c r="E135" s="6"/>
      <c r="F135" s="6"/>
    </row>
    <row r="136" spans="1:6" ht="15.75" customHeight="1">
      <c r="A136" s="6"/>
      <c r="B136" s="6"/>
      <c r="C136" s="6"/>
      <c r="D136" s="6"/>
      <c r="E136" s="6"/>
      <c r="F136" s="6"/>
    </row>
    <row r="137" spans="1:6" ht="15.75" customHeight="1">
      <c r="A137" s="6"/>
      <c r="B137" s="6"/>
      <c r="C137" s="6"/>
      <c r="D137" s="6"/>
      <c r="E137" s="6"/>
      <c r="F137" s="6"/>
    </row>
    <row r="138" spans="1:6" ht="15.75" customHeight="1">
      <c r="A138" s="6"/>
      <c r="B138" s="6"/>
      <c r="C138" s="6"/>
      <c r="D138" s="6"/>
      <c r="E138" s="6"/>
      <c r="F138" s="6"/>
    </row>
    <row r="139" spans="1:6" ht="15.75" customHeight="1">
      <c r="A139" s="6"/>
      <c r="B139" s="6"/>
      <c r="C139" s="6"/>
      <c r="D139" s="6"/>
      <c r="E139" s="6"/>
      <c r="F139" s="6"/>
    </row>
    <row r="140" spans="1:6" ht="15.75" customHeight="1">
      <c r="A140" s="6"/>
      <c r="B140" s="6"/>
      <c r="C140" s="6"/>
      <c r="D140" s="6"/>
      <c r="E140" s="6"/>
      <c r="F140" s="6"/>
    </row>
    <row r="141" spans="1:6" ht="15.75" customHeight="1">
      <c r="A141" s="6"/>
      <c r="B141" s="6"/>
      <c r="C141" s="6"/>
      <c r="D141" s="6"/>
      <c r="E141" s="6"/>
      <c r="F141" s="6"/>
    </row>
    <row r="142" spans="1:6" ht="15.75" customHeight="1">
      <c r="A142" s="6"/>
      <c r="B142" s="6"/>
      <c r="C142" s="6"/>
      <c r="D142" s="6"/>
      <c r="E142" s="6"/>
      <c r="F142" s="6"/>
    </row>
    <row r="143" spans="1:6" ht="15.75" customHeight="1">
      <c r="A143" s="6"/>
      <c r="B143" s="6"/>
      <c r="C143" s="6"/>
      <c r="D143" s="6"/>
      <c r="E143" s="6"/>
      <c r="F143" s="6"/>
    </row>
    <row r="144" spans="1:6" ht="15.75" customHeight="1">
      <c r="A144" s="6"/>
      <c r="B144" s="6"/>
      <c r="C144" s="6"/>
      <c r="D144" s="6"/>
      <c r="E144" s="6"/>
      <c r="F144" s="6"/>
    </row>
    <row r="145" spans="1:6" ht="15.75" customHeight="1">
      <c r="A145" s="6"/>
      <c r="B145" s="6"/>
      <c r="C145" s="6"/>
      <c r="D145" s="6"/>
      <c r="E145" s="6"/>
      <c r="F145" s="6"/>
    </row>
    <row r="146" spans="1:6" ht="15.75" customHeight="1">
      <c r="A146" s="6"/>
      <c r="B146" s="6"/>
      <c r="C146" s="6"/>
      <c r="D146" s="6"/>
      <c r="E146" s="6"/>
      <c r="F146" s="6"/>
    </row>
    <row r="147" spans="1:6" ht="15.75" customHeight="1">
      <c r="A147" s="6"/>
      <c r="B147" s="6"/>
      <c r="C147" s="6"/>
      <c r="D147" s="6"/>
      <c r="E147" s="6"/>
      <c r="F147" s="6"/>
    </row>
    <row r="148" spans="1:6" ht="15.75" customHeight="1">
      <c r="A148" s="6"/>
      <c r="B148" s="6"/>
      <c r="C148" s="6"/>
      <c r="D148" s="6"/>
      <c r="E148" s="6"/>
      <c r="F148" s="6"/>
    </row>
    <row r="149" spans="1:6" ht="15.75" customHeight="1">
      <c r="A149" s="6"/>
      <c r="B149" s="6"/>
      <c r="C149" s="6"/>
      <c r="D149" s="6"/>
      <c r="E149" s="6"/>
      <c r="F149" s="6"/>
    </row>
    <row r="150" spans="1:6" ht="15.75" customHeight="1">
      <c r="A150" s="6"/>
      <c r="B150" s="6"/>
      <c r="C150" s="6"/>
      <c r="D150" s="6"/>
      <c r="E150" s="6"/>
      <c r="F150" s="6"/>
    </row>
    <row r="151" spans="1:6" ht="15.75" customHeight="1">
      <c r="A151" s="6"/>
      <c r="B151" s="6"/>
      <c r="C151" s="6"/>
      <c r="D151" s="6"/>
      <c r="E151" s="6"/>
      <c r="F151" s="6"/>
    </row>
    <row r="152" spans="1:6" ht="15.75" customHeight="1">
      <c r="A152" s="6"/>
      <c r="B152" s="6"/>
      <c r="C152" s="6"/>
      <c r="D152" s="6"/>
      <c r="E152" s="6"/>
      <c r="F152" s="6"/>
    </row>
    <row r="153" spans="1:6" ht="15.75" customHeight="1">
      <c r="A153" s="6"/>
      <c r="B153" s="6"/>
      <c r="C153" s="6"/>
      <c r="D153" s="6"/>
      <c r="E153" s="6"/>
      <c r="F153" s="6"/>
    </row>
    <row r="154" spans="1:6" ht="15.75" customHeight="1">
      <c r="A154" s="6"/>
      <c r="B154" s="6"/>
      <c r="C154" s="6"/>
      <c r="D154" s="6"/>
      <c r="E154" s="6"/>
      <c r="F154" s="6"/>
    </row>
    <row r="155" spans="1:6" ht="15.75" customHeight="1">
      <c r="A155" s="6"/>
      <c r="B155" s="6"/>
      <c r="C155" s="6"/>
      <c r="D155" s="6"/>
      <c r="E155" s="6"/>
      <c r="F155" s="6"/>
    </row>
    <row r="156" spans="1:6" ht="15.75" customHeight="1">
      <c r="A156" s="6"/>
      <c r="B156" s="6"/>
      <c r="C156" s="6"/>
      <c r="D156" s="6"/>
      <c r="E156" s="6"/>
      <c r="F156" s="6"/>
    </row>
    <row r="157" spans="1:6" ht="15.75" customHeight="1">
      <c r="A157" s="6"/>
      <c r="B157" s="6"/>
      <c r="C157" s="6"/>
      <c r="D157" s="6"/>
      <c r="E157" s="6"/>
      <c r="F157" s="6"/>
    </row>
    <row r="158" spans="1:6" ht="15.75" customHeight="1">
      <c r="A158" s="6"/>
      <c r="B158" s="6"/>
      <c r="C158" s="6"/>
      <c r="D158" s="6"/>
      <c r="E158" s="6"/>
      <c r="F158" s="6"/>
    </row>
    <row r="159" spans="1:6" ht="15.75" customHeight="1">
      <c r="A159" s="6"/>
      <c r="B159" s="6"/>
      <c r="C159" s="6"/>
      <c r="D159" s="6"/>
      <c r="E159" s="6"/>
      <c r="F159" s="6"/>
    </row>
    <row r="160" spans="1:6" ht="15.75" customHeight="1">
      <c r="A160" s="6"/>
      <c r="B160" s="6"/>
      <c r="C160" s="6"/>
      <c r="D160" s="6"/>
      <c r="E160" s="6"/>
      <c r="F160" s="6"/>
    </row>
    <row r="161" spans="1:6" ht="15.75" customHeight="1">
      <c r="A161" s="6"/>
      <c r="B161" s="6"/>
      <c r="C161" s="6"/>
      <c r="D161" s="6"/>
      <c r="E161" s="6"/>
      <c r="F161" s="6"/>
    </row>
    <row r="162" spans="1:6" ht="15.75" customHeight="1">
      <c r="A162" s="6"/>
      <c r="B162" s="6"/>
      <c r="C162" s="6"/>
      <c r="D162" s="6"/>
      <c r="E162" s="6"/>
      <c r="F162" s="6"/>
    </row>
    <row r="163" spans="1:6" ht="15.75" customHeight="1">
      <c r="A163" s="6"/>
      <c r="B163" s="6"/>
      <c r="C163" s="6"/>
      <c r="D163" s="6"/>
      <c r="E163" s="6"/>
      <c r="F163" s="6"/>
    </row>
    <row r="164" spans="1:6" ht="15.75" customHeight="1">
      <c r="A164" s="6"/>
      <c r="B164" s="6"/>
      <c r="C164" s="6"/>
      <c r="D164" s="6"/>
      <c r="E164" s="6"/>
      <c r="F164" s="6"/>
    </row>
    <row r="165" spans="1:6" ht="15.75" customHeight="1">
      <c r="A165" s="6"/>
      <c r="B165" s="6"/>
      <c r="C165" s="6"/>
      <c r="D165" s="6"/>
      <c r="E165" s="6"/>
      <c r="F165" s="6"/>
    </row>
    <row r="166" spans="1:6" ht="15.75" customHeight="1">
      <c r="A166" s="6"/>
      <c r="B166" s="6"/>
      <c r="C166" s="6"/>
      <c r="D166" s="6"/>
      <c r="E166" s="6"/>
      <c r="F166" s="6"/>
    </row>
    <row r="167" spans="1:6" ht="15.75" customHeight="1">
      <c r="A167" s="6"/>
      <c r="B167" s="6"/>
      <c r="C167" s="6"/>
      <c r="D167" s="6"/>
      <c r="E167" s="6"/>
      <c r="F167" s="6"/>
    </row>
    <row r="168" spans="1:6" ht="15.75" customHeight="1">
      <c r="A168" s="6"/>
      <c r="B168" s="6"/>
      <c r="C168" s="6"/>
      <c r="D168" s="6"/>
      <c r="E168" s="6"/>
      <c r="F168" s="6"/>
    </row>
    <row r="169" spans="1:6" ht="15.75" customHeight="1">
      <c r="A169" s="6"/>
      <c r="B169" s="6"/>
      <c r="C169" s="6"/>
      <c r="D169" s="6"/>
      <c r="E169" s="6"/>
      <c r="F169" s="6"/>
    </row>
    <row r="170" spans="1:6" ht="15.75" customHeight="1">
      <c r="A170" s="6"/>
      <c r="B170" s="6"/>
      <c r="C170" s="6"/>
      <c r="D170" s="6"/>
      <c r="E170" s="6"/>
      <c r="F170" s="6"/>
    </row>
    <row r="171" spans="1:6" ht="15.75" customHeight="1">
      <c r="A171" s="6"/>
      <c r="B171" s="6"/>
      <c r="C171" s="6"/>
      <c r="D171" s="6"/>
      <c r="E171" s="6"/>
      <c r="F171" s="6"/>
    </row>
    <row r="172" spans="1:6" ht="15.75" customHeight="1">
      <c r="A172" s="6"/>
      <c r="B172" s="6"/>
      <c r="C172" s="6"/>
      <c r="D172" s="6"/>
      <c r="E172" s="6"/>
      <c r="F172" s="6"/>
    </row>
    <row r="173" spans="1:6" ht="15.75" customHeight="1">
      <c r="A173" s="6"/>
      <c r="B173" s="6"/>
      <c r="C173" s="6"/>
      <c r="D173" s="6"/>
      <c r="E173" s="6"/>
      <c r="F173" s="6"/>
    </row>
    <row r="174" spans="1:6" ht="15.75" customHeight="1">
      <c r="A174" s="6"/>
      <c r="B174" s="6"/>
      <c r="C174" s="6"/>
      <c r="D174" s="6"/>
      <c r="E174" s="6"/>
      <c r="F174" s="6"/>
    </row>
    <row r="175" spans="1:6" ht="15.75" customHeight="1">
      <c r="A175" s="6"/>
      <c r="B175" s="6"/>
      <c r="C175" s="6"/>
      <c r="D175" s="6"/>
      <c r="E175" s="6"/>
      <c r="F175" s="6"/>
    </row>
    <row r="176" spans="1:6" ht="15.75" customHeight="1">
      <c r="A176" s="6"/>
      <c r="B176" s="6"/>
      <c r="C176" s="6"/>
      <c r="D176" s="6"/>
      <c r="E176" s="6"/>
      <c r="F176" s="6"/>
    </row>
    <row r="177" spans="1:6" ht="15.75" customHeight="1">
      <c r="A177" s="6"/>
      <c r="B177" s="6"/>
      <c r="C177" s="6"/>
      <c r="D177" s="6"/>
      <c r="E177" s="6"/>
      <c r="F177" s="6"/>
    </row>
    <row r="178" spans="1:6" ht="15.75" customHeight="1">
      <c r="A178" s="6"/>
      <c r="B178" s="6"/>
      <c r="C178" s="6"/>
      <c r="D178" s="6"/>
      <c r="E178" s="6"/>
      <c r="F178" s="6"/>
    </row>
    <row r="179" spans="1:6" ht="15.75" customHeight="1">
      <c r="A179" s="6"/>
      <c r="B179" s="6"/>
      <c r="C179" s="6"/>
      <c r="D179" s="6"/>
      <c r="E179" s="6"/>
      <c r="F179" s="6"/>
    </row>
    <row r="180" spans="1:6" ht="15.75" customHeight="1">
      <c r="A180" s="6"/>
      <c r="B180" s="6"/>
      <c r="C180" s="6"/>
      <c r="D180" s="6"/>
      <c r="E180" s="6"/>
      <c r="F180" s="6"/>
    </row>
    <row r="181" spans="1:6" ht="15.75" customHeight="1">
      <c r="A181" s="6"/>
      <c r="B181" s="6"/>
      <c r="C181" s="6"/>
      <c r="D181" s="6"/>
      <c r="E181" s="6"/>
      <c r="F181" s="6"/>
    </row>
    <row r="182" spans="1:6" ht="15.75" customHeight="1">
      <c r="A182" s="6"/>
      <c r="B182" s="6"/>
      <c r="C182" s="6"/>
      <c r="D182" s="6"/>
      <c r="E182" s="6"/>
      <c r="F182" s="6"/>
    </row>
    <row r="183" spans="1:6" ht="15.75" customHeight="1">
      <c r="A183" s="6"/>
      <c r="B183" s="6"/>
      <c r="C183" s="6"/>
      <c r="D183" s="6"/>
      <c r="E183" s="6"/>
      <c r="F183" s="6"/>
    </row>
    <row r="184" spans="1:6" ht="15.75" customHeight="1">
      <c r="A184" s="6"/>
      <c r="B184" s="6"/>
      <c r="C184" s="6"/>
      <c r="D184" s="6"/>
      <c r="E184" s="6"/>
      <c r="F184" s="6"/>
    </row>
    <row r="185" spans="1:6" ht="15.75" customHeight="1">
      <c r="A185" s="6"/>
      <c r="B185" s="6"/>
      <c r="C185" s="6"/>
      <c r="D185" s="6"/>
      <c r="E185" s="6"/>
      <c r="F185" s="6"/>
    </row>
    <row r="186" spans="1:6" ht="15.75" customHeight="1">
      <c r="A186" s="6"/>
      <c r="B186" s="6"/>
      <c r="C186" s="6"/>
      <c r="D186" s="6"/>
      <c r="E186" s="6"/>
      <c r="F186" s="6"/>
    </row>
    <row r="187" spans="1:6" ht="15.75" customHeight="1">
      <c r="A187" s="6"/>
      <c r="B187" s="6"/>
      <c r="C187" s="6"/>
      <c r="D187" s="6"/>
      <c r="E187" s="6"/>
      <c r="F187" s="6"/>
    </row>
    <row r="188" spans="1:6" ht="15.75" customHeight="1">
      <c r="A188" s="6"/>
      <c r="B188" s="6"/>
      <c r="C188" s="6"/>
      <c r="D188" s="6"/>
      <c r="E188" s="6"/>
      <c r="F188" s="6"/>
    </row>
    <row r="189" spans="1:6" ht="15.75" customHeight="1">
      <c r="A189" s="6"/>
      <c r="B189" s="6"/>
      <c r="C189" s="6"/>
      <c r="D189" s="6"/>
      <c r="E189" s="6"/>
      <c r="F189" s="6"/>
    </row>
    <row r="190" spans="1:6" ht="15.75" customHeight="1">
      <c r="A190" s="6"/>
      <c r="B190" s="6"/>
      <c r="C190" s="6"/>
      <c r="D190" s="6"/>
      <c r="E190" s="6"/>
      <c r="F190" s="6"/>
    </row>
    <row r="191" spans="1:6" ht="15.75" customHeight="1">
      <c r="A191" s="6"/>
      <c r="B191" s="6"/>
      <c r="C191" s="6"/>
      <c r="D191" s="6"/>
      <c r="E191" s="6"/>
      <c r="F191" s="6"/>
    </row>
    <row r="192" spans="1:6" ht="15.75" customHeight="1">
      <c r="A192" s="6"/>
      <c r="B192" s="6"/>
      <c r="C192" s="6"/>
      <c r="D192" s="6"/>
      <c r="E192" s="6"/>
      <c r="F192" s="6"/>
    </row>
    <row r="193" spans="1:6" ht="15.75" customHeight="1">
      <c r="A193" s="6"/>
      <c r="B193" s="6"/>
      <c r="C193" s="6"/>
      <c r="D193" s="6"/>
      <c r="E193" s="6"/>
      <c r="F193" s="6"/>
    </row>
    <row r="194" spans="1:6" ht="15.75" customHeight="1">
      <c r="A194" s="6"/>
      <c r="B194" s="6"/>
      <c r="C194" s="6"/>
      <c r="D194" s="6"/>
      <c r="E194" s="6"/>
      <c r="F194" s="6"/>
    </row>
    <row r="195" spans="1:6" ht="15.75" customHeight="1">
      <c r="A195" s="6"/>
      <c r="B195" s="6"/>
      <c r="C195" s="6"/>
      <c r="D195" s="6"/>
      <c r="E195" s="6"/>
      <c r="F195" s="6"/>
    </row>
    <row r="196" spans="1:6" ht="15.75" customHeight="1">
      <c r="A196" s="6"/>
      <c r="B196" s="6"/>
      <c r="C196" s="6"/>
      <c r="D196" s="6"/>
      <c r="E196" s="6"/>
      <c r="F196" s="6"/>
    </row>
    <row r="197" spans="1:6" ht="15.75" customHeight="1">
      <c r="A197" s="6"/>
      <c r="B197" s="6"/>
      <c r="C197" s="6"/>
      <c r="D197" s="6"/>
      <c r="E197" s="6"/>
      <c r="F197" s="6"/>
    </row>
    <row r="198" spans="1:6" ht="15.75" customHeight="1">
      <c r="A198" s="6"/>
      <c r="B198" s="6"/>
      <c r="C198" s="6"/>
      <c r="D198" s="6"/>
      <c r="E198" s="6"/>
      <c r="F198" s="6"/>
    </row>
    <row r="199" spans="1:6" ht="15.75" customHeight="1">
      <c r="A199" s="6"/>
      <c r="B199" s="6"/>
      <c r="C199" s="6"/>
      <c r="D199" s="6"/>
      <c r="E199" s="6"/>
      <c r="F199" s="6"/>
    </row>
    <row r="200" spans="1:6" ht="15.75" customHeight="1">
      <c r="A200" s="6"/>
      <c r="B200" s="6"/>
      <c r="C200" s="6"/>
      <c r="D200" s="6"/>
      <c r="E200" s="6"/>
      <c r="F200" s="6"/>
    </row>
    <row r="201" spans="1:6" ht="15.75" customHeight="1">
      <c r="A201" s="6"/>
      <c r="B201" s="6"/>
      <c r="C201" s="6"/>
      <c r="D201" s="6"/>
      <c r="E201" s="6"/>
      <c r="F201" s="6"/>
    </row>
    <row r="202" spans="1:6" ht="15.75" customHeight="1">
      <c r="A202" s="6"/>
      <c r="B202" s="6"/>
      <c r="C202" s="6"/>
      <c r="D202" s="6"/>
      <c r="E202" s="6"/>
      <c r="F202" s="6"/>
    </row>
    <row r="203" spans="1:6" ht="15.75" customHeight="1">
      <c r="A203" s="6"/>
      <c r="B203" s="6"/>
      <c r="C203" s="6"/>
      <c r="D203" s="6"/>
      <c r="E203" s="6"/>
      <c r="F203" s="6"/>
    </row>
    <row r="204" spans="1:6" ht="15.75" customHeight="1">
      <c r="A204" s="6"/>
      <c r="B204" s="6"/>
      <c r="C204" s="6"/>
      <c r="D204" s="6"/>
      <c r="E204" s="6"/>
      <c r="F204" s="6"/>
    </row>
    <row r="205" spans="1:6" ht="15.75" customHeight="1">
      <c r="A205" s="6"/>
      <c r="B205" s="6"/>
      <c r="C205" s="6"/>
      <c r="D205" s="6"/>
      <c r="E205" s="6"/>
      <c r="F205" s="6"/>
    </row>
    <row r="206" spans="1:6" ht="15.75" customHeight="1">
      <c r="A206" s="6"/>
      <c r="B206" s="6"/>
      <c r="C206" s="6"/>
      <c r="D206" s="6"/>
      <c r="E206" s="6"/>
      <c r="F206" s="6"/>
    </row>
    <row r="207" spans="1:6" ht="15.75" customHeight="1">
      <c r="A207" s="6"/>
      <c r="B207" s="6"/>
      <c r="C207" s="6"/>
      <c r="D207" s="6"/>
      <c r="E207" s="6"/>
      <c r="F207" s="6"/>
    </row>
    <row r="208" spans="1:6" ht="15.75" customHeight="1">
      <c r="A208" s="6"/>
      <c r="B208" s="6"/>
      <c r="C208" s="6"/>
      <c r="D208" s="6"/>
      <c r="E208" s="6"/>
      <c r="F208" s="6"/>
    </row>
    <row r="209" spans="1:6" ht="15.75" customHeight="1">
      <c r="A209" s="6"/>
      <c r="B209" s="6"/>
      <c r="C209" s="6"/>
      <c r="D209" s="6"/>
      <c r="E209" s="6"/>
      <c r="F209" s="6"/>
    </row>
    <row r="210" spans="1:6" ht="15.75" customHeight="1">
      <c r="A210" s="6"/>
      <c r="B210" s="6"/>
      <c r="C210" s="6"/>
      <c r="D210" s="6"/>
      <c r="E210" s="6"/>
      <c r="F210" s="6"/>
    </row>
    <row r="211" spans="1:6" ht="15.75" customHeight="1">
      <c r="A211" s="6"/>
      <c r="B211" s="6"/>
      <c r="C211" s="6"/>
      <c r="D211" s="6"/>
      <c r="E211" s="6"/>
      <c r="F211" s="6"/>
    </row>
    <row r="212" spans="1:6" ht="15.75" customHeight="1">
      <c r="A212" s="6"/>
      <c r="B212" s="6"/>
      <c r="C212" s="6"/>
      <c r="D212" s="6"/>
      <c r="E212" s="6"/>
      <c r="F212" s="6"/>
    </row>
    <row r="213" spans="1:6" ht="15.75" customHeight="1">
      <c r="A213" s="6"/>
      <c r="B213" s="6"/>
      <c r="C213" s="6"/>
      <c r="D213" s="6"/>
      <c r="E213" s="6"/>
      <c r="F213" s="6"/>
    </row>
    <row r="214" spans="1:6" ht="15.75" customHeight="1">
      <c r="A214" s="6"/>
      <c r="B214" s="6"/>
      <c r="C214" s="6"/>
      <c r="D214" s="6"/>
      <c r="E214" s="6"/>
      <c r="F214" s="6"/>
    </row>
    <row r="215" spans="1:6" ht="15.75" customHeight="1">
      <c r="A215" s="6"/>
      <c r="B215" s="6"/>
      <c r="C215" s="6"/>
      <c r="D215" s="6"/>
      <c r="E215" s="6"/>
      <c r="F215" s="6"/>
    </row>
    <row r="216" spans="1:6" ht="15.75" customHeight="1">
      <c r="A216" s="6"/>
      <c r="B216" s="6"/>
      <c r="C216" s="6"/>
      <c r="D216" s="6"/>
      <c r="E216" s="6"/>
      <c r="F216" s="6"/>
    </row>
    <row r="217" spans="1:6" ht="15.75" customHeight="1">
      <c r="A217" s="6"/>
      <c r="B217" s="6"/>
      <c r="C217" s="6"/>
      <c r="D217" s="6"/>
      <c r="E217" s="6"/>
      <c r="F217" s="6"/>
    </row>
    <row r="218" spans="1:6" ht="15.75" customHeight="1">
      <c r="A218" s="6"/>
      <c r="B218" s="6"/>
      <c r="C218" s="6"/>
      <c r="D218" s="6"/>
      <c r="E218" s="6"/>
      <c r="F218" s="6"/>
    </row>
    <row r="219" spans="1:6" ht="15.75" customHeight="1">
      <c r="A219" s="6"/>
      <c r="B219" s="6"/>
      <c r="C219" s="6"/>
      <c r="D219" s="6"/>
      <c r="E219" s="6"/>
      <c r="F219" s="6"/>
    </row>
    <row r="220" spans="1:6" ht="15.75" customHeight="1">
      <c r="A220" s="6"/>
      <c r="B220" s="6"/>
      <c r="C220" s="6"/>
      <c r="D220" s="6"/>
      <c r="E220" s="6"/>
      <c r="F220" s="6"/>
    </row>
    <row r="221" spans="1:6" ht="15.75" customHeight="1">
      <c r="A221" s="6"/>
      <c r="B221" s="6"/>
      <c r="C221" s="6"/>
      <c r="D221" s="6"/>
      <c r="E221" s="6"/>
      <c r="F221" s="6"/>
    </row>
    <row r="222" spans="1:6" ht="15.75" customHeight="1">
      <c r="A222" s="6"/>
      <c r="B222" s="6"/>
      <c r="C222" s="6"/>
      <c r="D222" s="6"/>
      <c r="E222" s="6"/>
      <c r="F222" s="6"/>
    </row>
    <row r="223" spans="1:6" ht="15.75" customHeight="1">
      <c r="A223" s="6"/>
      <c r="B223" s="6"/>
      <c r="C223" s="6"/>
      <c r="D223" s="6"/>
      <c r="E223" s="6"/>
      <c r="F223" s="6"/>
    </row>
    <row r="224" spans="1:6" ht="15.75" customHeight="1">
      <c r="A224" s="6"/>
      <c r="B224" s="6"/>
      <c r="C224" s="6"/>
      <c r="D224" s="6"/>
      <c r="E224" s="6"/>
      <c r="F224" s="6"/>
    </row>
    <row r="225" spans="1:6" ht="15.75" customHeight="1">
      <c r="A225" s="6"/>
      <c r="B225" s="6"/>
      <c r="C225" s="6"/>
      <c r="D225" s="6"/>
      <c r="E225" s="6"/>
      <c r="F225" s="6"/>
    </row>
    <row r="226" spans="1:6" ht="15.75" customHeight="1">
      <c r="A226" s="6"/>
      <c r="B226" s="6"/>
      <c r="C226" s="6"/>
      <c r="D226" s="6"/>
      <c r="E226" s="6"/>
      <c r="F226" s="6"/>
    </row>
    <row r="227" spans="1:6" ht="15.75" customHeight="1">
      <c r="A227" s="6"/>
      <c r="B227" s="6"/>
      <c r="C227" s="6"/>
      <c r="D227" s="6"/>
      <c r="E227" s="6"/>
      <c r="F227" s="6"/>
    </row>
    <row r="228" spans="1:6" ht="15.75" customHeight="1">
      <c r="A228" s="6"/>
      <c r="B228" s="6"/>
      <c r="C228" s="6"/>
      <c r="D228" s="6"/>
      <c r="E228" s="6"/>
      <c r="F228" s="6"/>
    </row>
    <row r="229" spans="1:6" ht="15.75" customHeight="1">
      <c r="A229" s="6"/>
      <c r="B229" s="6"/>
      <c r="C229" s="6"/>
      <c r="D229" s="6"/>
      <c r="E229" s="6"/>
      <c r="F229" s="6"/>
    </row>
    <row r="230" spans="1:6" ht="15.75" customHeight="1">
      <c r="A230" s="6"/>
      <c r="B230" s="6"/>
      <c r="C230" s="6"/>
      <c r="D230" s="6"/>
      <c r="E230" s="6"/>
      <c r="F230" s="6"/>
    </row>
    <row r="231" spans="1:6" ht="15.75" customHeight="1">
      <c r="A231" s="6"/>
      <c r="B231" s="6"/>
      <c r="C231" s="6"/>
      <c r="D231" s="6"/>
      <c r="E231" s="6"/>
      <c r="F231" s="6"/>
    </row>
    <row r="232" spans="1:6" ht="15.75" customHeight="1">
      <c r="A232" s="6"/>
      <c r="B232" s="6"/>
      <c r="C232" s="6"/>
      <c r="D232" s="6"/>
      <c r="E232" s="6"/>
      <c r="F232" s="6"/>
    </row>
    <row r="233" spans="1:6" ht="15.75" customHeight="1">
      <c r="A233" s="6"/>
      <c r="B233" s="6"/>
      <c r="C233" s="6"/>
      <c r="D233" s="6"/>
      <c r="E233" s="6"/>
      <c r="F233" s="6"/>
    </row>
    <row r="234" spans="1:6" ht="15.75" customHeight="1">
      <c r="A234" s="6"/>
      <c r="B234" s="6"/>
      <c r="C234" s="6"/>
      <c r="D234" s="6"/>
      <c r="E234" s="6"/>
      <c r="F234" s="6"/>
    </row>
    <row r="235" spans="1:6" ht="15.75" customHeight="1">
      <c r="A235" s="6"/>
      <c r="B235" s="6"/>
      <c r="C235" s="6"/>
      <c r="D235" s="6"/>
      <c r="E235" s="6"/>
      <c r="F235" s="6"/>
    </row>
    <row r="236" spans="1:6" ht="15.75" customHeight="1">
      <c r="A236" s="6"/>
      <c r="B236" s="6"/>
      <c r="C236" s="6"/>
      <c r="D236" s="6"/>
      <c r="E236" s="6"/>
      <c r="F236" s="6"/>
    </row>
    <row r="237" spans="1:6" ht="15.75" customHeight="1">
      <c r="A237" s="6"/>
      <c r="B237" s="6"/>
      <c r="C237" s="6"/>
      <c r="D237" s="6"/>
      <c r="E237" s="6"/>
      <c r="F237" s="6"/>
    </row>
    <row r="238" spans="1:6" ht="15.75" customHeight="1">
      <c r="A238" s="6"/>
      <c r="B238" s="6"/>
      <c r="C238" s="6"/>
      <c r="D238" s="6"/>
      <c r="E238" s="6"/>
      <c r="F238" s="6"/>
    </row>
    <row r="239" spans="1:6" ht="15.75" customHeight="1">
      <c r="A239" s="6"/>
      <c r="B239" s="6"/>
      <c r="C239" s="6"/>
      <c r="D239" s="6"/>
      <c r="E239" s="6"/>
      <c r="F239" s="6"/>
    </row>
    <row r="240" spans="1:6" ht="15.75" customHeight="1">
      <c r="A240" s="6"/>
      <c r="B240" s="6"/>
      <c r="C240" s="6"/>
      <c r="D240" s="6"/>
      <c r="E240" s="6"/>
      <c r="F240" s="6"/>
    </row>
    <row r="241" spans="1:6" ht="15.75" customHeight="1">
      <c r="A241" s="6"/>
      <c r="B241" s="6"/>
      <c r="C241" s="6"/>
      <c r="D241" s="6"/>
      <c r="E241" s="6"/>
      <c r="F241" s="6"/>
    </row>
    <row r="242" spans="1:6" ht="15.75" customHeight="1">
      <c r="A242" s="6"/>
      <c r="B242" s="6"/>
      <c r="C242" s="6"/>
      <c r="D242" s="6"/>
      <c r="E242" s="6"/>
      <c r="F242" s="6"/>
    </row>
    <row r="243" spans="1:6" ht="15.75" customHeight="1">
      <c r="A243" s="6"/>
      <c r="B243" s="6"/>
      <c r="C243" s="6"/>
      <c r="D243" s="6"/>
      <c r="E243" s="6"/>
      <c r="F243" s="6"/>
    </row>
    <row r="244" spans="1:6" ht="15.75" customHeight="1">
      <c r="A244" s="6"/>
      <c r="B244" s="6"/>
      <c r="C244" s="6"/>
      <c r="D244" s="6"/>
      <c r="E244" s="6"/>
      <c r="F244" s="6"/>
    </row>
    <row r="245" spans="1:6" ht="15.75" customHeight="1">
      <c r="A245" s="6"/>
      <c r="B245" s="6"/>
      <c r="C245" s="6"/>
      <c r="D245" s="6"/>
      <c r="E245" s="6"/>
      <c r="F245" s="6"/>
    </row>
    <row r="246" spans="1:6" ht="15.75" customHeight="1">
      <c r="A246" s="6"/>
      <c r="B246" s="6"/>
      <c r="C246" s="6"/>
      <c r="D246" s="6"/>
      <c r="E246" s="6"/>
      <c r="F246" s="6"/>
    </row>
    <row r="247" spans="1:6" ht="15.75" customHeight="1">
      <c r="A247" s="6"/>
      <c r="B247" s="6"/>
      <c r="C247" s="6"/>
      <c r="D247" s="6"/>
      <c r="E247" s="6"/>
      <c r="F247" s="6"/>
    </row>
    <row r="248" spans="1:6" ht="15.75" customHeight="1">
      <c r="A248" s="6"/>
      <c r="B248" s="6"/>
      <c r="C248" s="6"/>
      <c r="D248" s="6"/>
      <c r="E248" s="6"/>
      <c r="F248" s="6"/>
    </row>
    <row r="249" spans="1:6" ht="15.75" customHeight="1">
      <c r="A249" s="6"/>
      <c r="B249" s="6"/>
      <c r="C249" s="6"/>
      <c r="D249" s="6"/>
      <c r="E249" s="6"/>
      <c r="F249" s="6"/>
    </row>
    <row r="250" spans="1:6" ht="15.75" customHeight="1">
      <c r="A250" s="6"/>
      <c r="B250" s="6"/>
      <c r="C250" s="6"/>
      <c r="D250" s="6"/>
      <c r="E250" s="6"/>
      <c r="F250" s="6"/>
    </row>
    <row r="251" spans="1:6" ht="15.75" customHeight="1">
      <c r="A251" s="6"/>
      <c r="B251" s="6"/>
      <c r="C251" s="6"/>
      <c r="D251" s="6"/>
      <c r="E251" s="6"/>
      <c r="F251" s="6"/>
    </row>
    <row r="252" spans="1:6" ht="15.75" customHeight="1">
      <c r="A252" s="6"/>
      <c r="B252" s="6"/>
      <c r="C252" s="6"/>
      <c r="D252" s="6"/>
      <c r="E252" s="6"/>
      <c r="F252" s="6"/>
    </row>
    <row r="253" spans="1:6" ht="15.75" customHeight="1">
      <c r="A253" s="6"/>
      <c r="B253" s="6"/>
      <c r="C253" s="6"/>
      <c r="D253" s="6"/>
      <c r="E253" s="6"/>
      <c r="F253" s="6"/>
    </row>
    <row r="254" spans="1:6" ht="15.75" customHeight="1">
      <c r="A254" s="6"/>
      <c r="B254" s="6"/>
      <c r="C254" s="6"/>
      <c r="D254" s="6"/>
      <c r="E254" s="6"/>
      <c r="F254" s="6"/>
    </row>
    <row r="255" spans="1:6" ht="15.75" customHeight="1">
      <c r="A255" s="6"/>
      <c r="B255" s="6"/>
      <c r="C255" s="6"/>
      <c r="D255" s="6"/>
      <c r="E255" s="6"/>
      <c r="F255" s="6"/>
    </row>
    <row r="256" spans="1:6" ht="15.75" customHeight="1">
      <c r="A256" s="6"/>
      <c r="B256" s="6"/>
      <c r="C256" s="6"/>
      <c r="D256" s="6"/>
      <c r="E256" s="6"/>
      <c r="F256" s="6"/>
    </row>
    <row r="257" spans="1:6" ht="15.75" customHeight="1">
      <c r="A257" s="6"/>
      <c r="B257" s="6"/>
      <c r="C257" s="6"/>
      <c r="D257" s="6"/>
      <c r="E257" s="6"/>
      <c r="F257" s="6"/>
    </row>
    <row r="258" spans="1:6" ht="15.75" customHeight="1">
      <c r="A258" s="6"/>
      <c r="B258" s="6"/>
      <c r="C258" s="6"/>
      <c r="D258" s="6"/>
      <c r="E258" s="6"/>
      <c r="F258" s="6"/>
    </row>
    <row r="259" spans="1:6" ht="15.75" customHeight="1">
      <c r="A259" s="6"/>
      <c r="B259" s="6"/>
      <c r="C259" s="6"/>
      <c r="D259" s="6"/>
      <c r="E259" s="6"/>
      <c r="F259" s="6"/>
    </row>
    <row r="260" spans="1:6" ht="15.75" customHeight="1">
      <c r="A260" s="6"/>
      <c r="B260" s="6"/>
      <c r="C260" s="6"/>
      <c r="D260" s="6"/>
      <c r="E260" s="6"/>
      <c r="F260" s="6"/>
    </row>
    <row r="261" spans="1:6" ht="15.75" customHeight="1">
      <c r="A261" s="6"/>
      <c r="B261" s="6"/>
      <c r="C261" s="6"/>
      <c r="D261" s="6"/>
      <c r="E261" s="6"/>
      <c r="F261" s="6"/>
    </row>
    <row r="262" spans="1:6" ht="15.75" customHeight="1">
      <c r="A262" s="6"/>
      <c r="B262" s="6"/>
      <c r="C262" s="6"/>
      <c r="D262" s="6"/>
      <c r="E262" s="6"/>
      <c r="F262" s="6"/>
    </row>
    <row r="263" spans="1:6" ht="15.75" customHeight="1">
      <c r="A263" s="6"/>
      <c r="B263" s="6"/>
      <c r="C263" s="6"/>
      <c r="D263" s="6"/>
      <c r="E263" s="6"/>
      <c r="F263" s="6"/>
    </row>
    <row r="264" spans="1:6" ht="15.75" customHeight="1">
      <c r="A264" s="6"/>
      <c r="B264" s="6"/>
      <c r="C264" s="6"/>
      <c r="D264" s="6"/>
      <c r="E264" s="6"/>
      <c r="F264" s="6"/>
    </row>
    <row r="265" spans="1:6" ht="15.75" customHeight="1">
      <c r="A265" s="6"/>
      <c r="B265" s="6"/>
      <c r="C265" s="6"/>
      <c r="D265" s="6"/>
      <c r="E265" s="6"/>
      <c r="F265" s="6"/>
    </row>
    <row r="266" spans="1:6" ht="15.75" customHeight="1">
      <c r="A266" s="6"/>
      <c r="B266" s="6"/>
      <c r="C266" s="6"/>
      <c r="D266" s="6"/>
      <c r="E266" s="6"/>
      <c r="F266" s="6"/>
    </row>
    <row r="267" spans="1:6" ht="15.75" customHeight="1">
      <c r="A267" s="6"/>
      <c r="B267" s="6"/>
      <c r="C267" s="6"/>
      <c r="D267" s="6"/>
      <c r="E267" s="6"/>
      <c r="F267" s="6"/>
    </row>
    <row r="268" spans="1:6" ht="15.75" customHeight="1">
      <c r="A268" s="6"/>
      <c r="B268" s="6"/>
      <c r="C268" s="6"/>
      <c r="D268" s="6"/>
      <c r="E268" s="6"/>
      <c r="F268" s="6"/>
    </row>
    <row r="269" spans="1:6" ht="15.75" customHeight="1">
      <c r="A269" s="6"/>
      <c r="B269" s="6"/>
      <c r="C269" s="6"/>
      <c r="D269" s="6"/>
      <c r="E269" s="6"/>
      <c r="F269" s="6"/>
    </row>
    <row r="270" spans="1:6" ht="15.75" customHeight="1">
      <c r="A270" s="6"/>
      <c r="B270" s="6"/>
      <c r="C270" s="6"/>
      <c r="D270" s="6"/>
      <c r="E270" s="6"/>
      <c r="F270" s="6"/>
    </row>
    <row r="271" spans="1:6" ht="15.75" customHeight="1">
      <c r="A271" s="6"/>
      <c r="B271" s="6"/>
      <c r="C271" s="6"/>
      <c r="D271" s="6"/>
      <c r="E271" s="6"/>
      <c r="F271" s="6"/>
    </row>
    <row r="272" spans="1:6" ht="15.75" customHeight="1">
      <c r="A272" s="6"/>
      <c r="B272" s="6"/>
      <c r="C272" s="6"/>
      <c r="D272" s="6"/>
      <c r="E272" s="6"/>
      <c r="F272" s="6"/>
    </row>
    <row r="273" spans="1:6" ht="15.75" customHeight="1">
      <c r="A273" s="6"/>
      <c r="B273" s="6"/>
      <c r="C273" s="6"/>
      <c r="D273" s="6"/>
      <c r="E273" s="6"/>
      <c r="F273" s="6"/>
    </row>
    <row r="274" spans="1:6" ht="15.75" customHeight="1">
      <c r="A274" s="6"/>
      <c r="B274" s="6"/>
      <c r="C274" s="6"/>
      <c r="D274" s="6"/>
      <c r="E274" s="6"/>
      <c r="F274" s="6"/>
    </row>
    <row r="275" spans="1:6" ht="15.75" customHeight="1">
      <c r="A275" s="6"/>
      <c r="B275" s="6"/>
      <c r="C275" s="6"/>
      <c r="D275" s="6"/>
      <c r="E275" s="6"/>
      <c r="F275" s="6"/>
    </row>
    <row r="276" spans="1:6" ht="15.75" customHeight="1">
      <c r="A276" s="6"/>
      <c r="B276" s="6"/>
      <c r="C276" s="6"/>
      <c r="D276" s="6"/>
      <c r="E276" s="6"/>
      <c r="F276" s="6"/>
    </row>
    <row r="277" spans="1:6" ht="15.75" customHeight="1">
      <c r="A277" s="6"/>
      <c r="B277" s="6"/>
      <c r="C277" s="6"/>
      <c r="D277" s="6"/>
      <c r="E277" s="6"/>
      <c r="F277" s="6"/>
    </row>
    <row r="278" spans="1:6" ht="15.75" customHeight="1">
      <c r="A278" s="6"/>
      <c r="B278" s="6"/>
      <c r="C278" s="6"/>
      <c r="D278" s="6"/>
      <c r="E278" s="6"/>
      <c r="F278" s="6"/>
    </row>
    <row r="279" spans="1:6" ht="15.75" customHeight="1">
      <c r="A279" s="6"/>
      <c r="B279" s="6"/>
      <c r="C279" s="6"/>
      <c r="D279" s="6"/>
      <c r="E279" s="6"/>
      <c r="F279" s="6"/>
    </row>
    <row r="280" spans="1:6" ht="15.75" customHeight="1">
      <c r="A280" s="6"/>
      <c r="B280" s="6"/>
      <c r="C280" s="6"/>
      <c r="D280" s="6"/>
      <c r="E280" s="6"/>
      <c r="F280" s="6"/>
    </row>
    <row r="281" spans="1:6" ht="15.75" customHeight="1">
      <c r="A281" s="6"/>
      <c r="B281" s="6"/>
      <c r="C281" s="6"/>
      <c r="D281" s="6"/>
      <c r="E281" s="6"/>
      <c r="F281" s="6"/>
    </row>
    <row r="282" spans="1:6" ht="15.75" customHeight="1">
      <c r="A282" s="6"/>
      <c r="B282" s="6"/>
      <c r="C282" s="6"/>
      <c r="D282" s="6"/>
      <c r="E282" s="6"/>
      <c r="F282" s="6"/>
    </row>
    <row r="283" spans="1:6" ht="15.75" customHeight="1">
      <c r="A283" s="6"/>
      <c r="B283" s="6"/>
      <c r="C283" s="6"/>
      <c r="D283" s="6"/>
      <c r="E283" s="6"/>
      <c r="F283" s="6"/>
    </row>
    <row r="284" spans="1:6" ht="15.75" customHeight="1">
      <c r="A284" s="6"/>
      <c r="B284" s="6"/>
      <c r="C284" s="6"/>
      <c r="D284" s="6"/>
      <c r="E284" s="6"/>
      <c r="F284" s="6"/>
    </row>
    <row r="285" spans="1:6" ht="15.75" customHeight="1">
      <c r="A285" s="6"/>
      <c r="B285" s="6"/>
      <c r="C285" s="6"/>
      <c r="D285" s="6"/>
      <c r="E285" s="6"/>
      <c r="F285" s="6"/>
    </row>
    <row r="286" spans="1:6" ht="15.75" customHeight="1">
      <c r="A286" s="6"/>
      <c r="B286" s="6"/>
      <c r="C286" s="6"/>
      <c r="D286" s="6"/>
      <c r="E286" s="6"/>
      <c r="F286" s="6"/>
    </row>
    <row r="287" spans="1:6" ht="15.75" customHeight="1">
      <c r="A287" s="6"/>
      <c r="B287" s="6"/>
      <c r="C287" s="6"/>
      <c r="D287" s="6"/>
      <c r="E287" s="6"/>
      <c r="F287" s="6"/>
    </row>
    <row r="288" spans="1:6" ht="15.75" customHeight="1">
      <c r="A288" s="6"/>
      <c r="B288" s="6"/>
      <c r="C288" s="6"/>
      <c r="D288" s="6"/>
      <c r="E288" s="6"/>
      <c r="F288" s="6"/>
    </row>
    <row r="289" spans="1:6" ht="15.75" customHeight="1">
      <c r="A289" s="6"/>
      <c r="B289" s="6"/>
      <c r="C289" s="6"/>
      <c r="D289" s="6"/>
      <c r="E289" s="6"/>
      <c r="F289" s="6"/>
    </row>
    <row r="290" spans="1:6" ht="15.75" customHeight="1">
      <c r="A290" s="6"/>
      <c r="B290" s="6"/>
      <c r="C290" s="6"/>
      <c r="D290" s="6"/>
      <c r="E290" s="6"/>
      <c r="F290" s="6"/>
    </row>
    <row r="291" spans="1:6" ht="15.75" customHeight="1">
      <c r="A291" s="6"/>
      <c r="B291" s="6"/>
      <c r="C291" s="6"/>
      <c r="D291" s="6"/>
      <c r="E291" s="6"/>
      <c r="F291" s="6"/>
    </row>
    <row r="292" spans="1:6" ht="15.75" customHeight="1">
      <c r="A292" s="6"/>
      <c r="B292" s="6"/>
      <c r="C292" s="6"/>
      <c r="D292" s="6"/>
      <c r="E292" s="6"/>
      <c r="F292" s="6"/>
    </row>
    <row r="293" spans="1:6" ht="15.75" customHeight="1">
      <c r="A293" s="6"/>
      <c r="B293" s="6"/>
      <c r="C293" s="6"/>
      <c r="D293" s="6"/>
      <c r="E293" s="6"/>
      <c r="F293" s="6"/>
    </row>
    <row r="294" spans="1:6" ht="15.75" customHeight="1">
      <c r="A294" s="6"/>
      <c r="B294" s="6"/>
      <c r="C294" s="6"/>
      <c r="D294" s="6"/>
      <c r="E294" s="6"/>
      <c r="F294" s="6"/>
    </row>
    <row r="295" spans="1:6" ht="15.75" customHeight="1">
      <c r="A295" s="6"/>
      <c r="B295" s="6"/>
      <c r="C295" s="6"/>
      <c r="D295" s="6"/>
      <c r="E295" s="6"/>
      <c r="F295" s="6"/>
    </row>
    <row r="296" spans="1:6" ht="15.75" customHeight="1">
      <c r="A296" s="6"/>
      <c r="B296" s="6"/>
      <c r="C296" s="6"/>
      <c r="D296" s="6"/>
      <c r="E296" s="6"/>
      <c r="F296" s="6"/>
    </row>
    <row r="297" spans="1:6" ht="15.75" customHeight="1">
      <c r="A297" s="6"/>
      <c r="B297" s="6"/>
      <c r="C297" s="6"/>
      <c r="D297" s="6"/>
      <c r="E297" s="6"/>
      <c r="F297" s="6"/>
    </row>
    <row r="298" spans="1:6" ht="15.75" customHeight="1">
      <c r="A298" s="6"/>
      <c r="B298" s="6"/>
      <c r="C298" s="6"/>
      <c r="D298" s="6"/>
      <c r="E298" s="6"/>
      <c r="F298" s="6"/>
    </row>
    <row r="299" spans="1:6" ht="15.75" customHeight="1">
      <c r="A299" s="6"/>
      <c r="B299" s="6"/>
      <c r="C299" s="6"/>
      <c r="D299" s="6"/>
      <c r="E299" s="6"/>
      <c r="F299" s="6"/>
    </row>
    <row r="300" spans="1:6" ht="15.75" customHeight="1">
      <c r="A300" s="6"/>
      <c r="B300" s="6"/>
      <c r="C300" s="6"/>
      <c r="D300" s="6"/>
      <c r="E300" s="6"/>
      <c r="F300" s="6"/>
    </row>
    <row r="301" spans="1:6" ht="15.75" customHeight="1">
      <c r="A301" s="6"/>
      <c r="B301" s="6"/>
      <c r="C301" s="6"/>
      <c r="D301" s="6"/>
      <c r="E301" s="6"/>
      <c r="F301" s="6"/>
    </row>
    <row r="302" spans="1:6" ht="15.75" customHeight="1">
      <c r="A302" s="6"/>
      <c r="B302" s="6"/>
      <c r="C302" s="6"/>
      <c r="D302" s="6"/>
      <c r="E302" s="6"/>
      <c r="F302" s="6"/>
    </row>
    <row r="303" spans="1:6" ht="15.75" customHeight="1">
      <c r="A303" s="6"/>
      <c r="B303" s="6"/>
      <c r="C303" s="6"/>
      <c r="D303" s="6"/>
      <c r="E303" s="6"/>
      <c r="F303" s="6"/>
    </row>
    <row r="304" spans="1:6" ht="15.75" customHeight="1">
      <c r="A304" s="6"/>
      <c r="B304" s="6"/>
      <c r="C304" s="6"/>
      <c r="D304" s="6"/>
      <c r="E304" s="6"/>
      <c r="F304" s="6"/>
    </row>
    <row r="305" spans="1:6" ht="15.75" customHeight="1">
      <c r="A305" s="6"/>
      <c r="B305" s="6"/>
      <c r="C305" s="6"/>
      <c r="D305" s="6"/>
      <c r="E305" s="6"/>
      <c r="F305" s="6"/>
    </row>
    <row r="306" spans="1:6" ht="15.75" customHeight="1">
      <c r="A306" s="6"/>
      <c r="B306" s="6"/>
      <c r="C306" s="6"/>
      <c r="D306" s="6"/>
      <c r="E306" s="6"/>
      <c r="F306" s="6"/>
    </row>
    <row r="307" spans="1:6" ht="15.75" customHeight="1">
      <c r="A307" s="6"/>
      <c r="B307" s="6"/>
      <c r="C307" s="6"/>
      <c r="D307" s="6"/>
      <c r="E307" s="6"/>
      <c r="F307" s="6"/>
    </row>
    <row r="308" spans="1:6" ht="15.75" customHeight="1">
      <c r="A308" s="6"/>
      <c r="B308" s="6"/>
      <c r="C308" s="6"/>
      <c r="D308" s="6"/>
      <c r="E308" s="6"/>
      <c r="F308" s="6"/>
    </row>
    <row r="309" spans="1:6" ht="15.75" customHeight="1">
      <c r="A309" s="6"/>
      <c r="B309" s="6"/>
      <c r="C309" s="6"/>
      <c r="D309" s="6"/>
      <c r="E309" s="6"/>
      <c r="F309" s="6"/>
    </row>
    <row r="310" spans="1:6" ht="15.75" customHeight="1">
      <c r="A310" s="6"/>
      <c r="B310" s="6"/>
      <c r="C310" s="6"/>
      <c r="D310" s="6"/>
      <c r="E310" s="6"/>
      <c r="F310" s="6"/>
    </row>
    <row r="311" spans="1:6" ht="15.75" customHeight="1">
      <c r="A311" s="6"/>
      <c r="B311" s="6"/>
      <c r="C311" s="6"/>
      <c r="D311" s="6"/>
      <c r="E311" s="6"/>
      <c r="F311" s="6"/>
    </row>
    <row r="312" spans="1:6" ht="15.75" customHeight="1">
      <c r="A312" s="6"/>
      <c r="B312" s="6"/>
      <c r="C312" s="6"/>
      <c r="D312" s="6"/>
      <c r="E312" s="6"/>
      <c r="F312" s="6"/>
    </row>
    <row r="313" spans="1:6" ht="15.75" customHeight="1">
      <c r="A313" s="6"/>
      <c r="B313" s="6"/>
      <c r="C313" s="6"/>
      <c r="D313" s="6"/>
      <c r="E313" s="6"/>
      <c r="F313" s="6"/>
    </row>
    <row r="314" spans="1:6" ht="15.75" customHeight="1">
      <c r="A314" s="6"/>
      <c r="B314" s="6"/>
      <c r="C314" s="6"/>
      <c r="D314" s="6"/>
      <c r="E314" s="6"/>
      <c r="F314" s="6"/>
    </row>
    <row r="315" spans="1:6" ht="15.75" customHeight="1">
      <c r="A315" s="6"/>
      <c r="B315" s="6"/>
      <c r="C315" s="6"/>
      <c r="D315" s="6"/>
      <c r="E315" s="6"/>
      <c r="F315" s="6"/>
    </row>
    <row r="316" spans="1:6" ht="15.75" customHeight="1">
      <c r="A316" s="6"/>
      <c r="B316" s="6"/>
      <c r="C316" s="6"/>
      <c r="D316" s="6"/>
      <c r="E316" s="6"/>
      <c r="F316" s="6"/>
    </row>
    <row r="317" spans="1:6" ht="15.75" customHeight="1">
      <c r="A317" s="6"/>
      <c r="B317" s="6"/>
      <c r="C317" s="6"/>
      <c r="D317" s="6"/>
      <c r="E317" s="6"/>
      <c r="F317" s="6"/>
    </row>
    <row r="318" spans="1:6" ht="15.75" customHeight="1">
      <c r="A318" s="6"/>
      <c r="B318" s="6"/>
      <c r="C318" s="6"/>
      <c r="D318" s="6"/>
      <c r="E318" s="6"/>
      <c r="F318" s="6"/>
    </row>
    <row r="319" spans="1:6" ht="15.75" customHeight="1">
      <c r="A319" s="6"/>
      <c r="B319" s="6"/>
      <c r="C319" s="6"/>
      <c r="D319" s="6"/>
      <c r="E319" s="6"/>
      <c r="F319" s="6"/>
    </row>
    <row r="320" spans="1:6" ht="15.75" customHeight="1">
      <c r="A320" s="6"/>
      <c r="B320" s="6"/>
      <c r="C320" s="6"/>
      <c r="D320" s="6"/>
      <c r="E320" s="6"/>
      <c r="F320" s="6"/>
    </row>
    <row r="321" spans="1:6" ht="15.75" customHeight="1">
      <c r="A321" s="6"/>
      <c r="B321" s="6"/>
      <c r="C321" s="6"/>
      <c r="D321" s="6"/>
      <c r="E321" s="6"/>
      <c r="F321" s="6"/>
    </row>
    <row r="322" spans="1:6" ht="15.75" customHeight="1">
      <c r="A322" s="6"/>
      <c r="B322" s="6"/>
      <c r="C322" s="6"/>
      <c r="D322" s="6"/>
      <c r="E322" s="6"/>
      <c r="F322" s="6"/>
    </row>
    <row r="323" spans="1:6" ht="15.75" customHeight="1">
      <c r="A323" s="6"/>
      <c r="B323" s="6"/>
      <c r="C323" s="6"/>
      <c r="D323" s="6"/>
      <c r="E323" s="6"/>
      <c r="F323" s="6"/>
    </row>
    <row r="324" spans="1:6" ht="15.75" customHeight="1">
      <c r="A324" s="6"/>
      <c r="B324" s="6"/>
      <c r="C324" s="6"/>
      <c r="D324" s="6"/>
      <c r="E324" s="6"/>
      <c r="F324" s="6"/>
    </row>
    <row r="325" spans="1:6" ht="15.75" customHeight="1">
      <c r="A325" s="6"/>
      <c r="B325" s="6"/>
      <c r="C325" s="6"/>
      <c r="D325" s="6"/>
      <c r="E325" s="6"/>
      <c r="F325" s="6"/>
    </row>
    <row r="326" spans="1:6" ht="15.75" customHeight="1">
      <c r="A326" s="6"/>
      <c r="B326" s="6"/>
      <c r="C326" s="6"/>
      <c r="D326" s="6"/>
      <c r="E326" s="6"/>
      <c r="F326" s="6"/>
    </row>
    <row r="327" spans="1:6" ht="15.75" customHeight="1">
      <c r="A327" s="6"/>
      <c r="B327" s="6"/>
      <c r="C327" s="6"/>
      <c r="D327" s="6"/>
      <c r="E327" s="6"/>
      <c r="F327" s="6"/>
    </row>
    <row r="328" spans="1:6" ht="15.75" customHeight="1">
      <c r="A328" s="6"/>
      <c r="B328" s="6"/>
      <c r="C328" s="6"/>
      <c r="D328" s="6"/>
      <c r="E328" s="6"/>
      <c r="F328" s="6"/>
    </row>
    <row r="329" spans="1:6" ht="15.75" customHeight="1">
      <c r="A329" s="6"/>
      <c r="B329" s="6"/>
      <c r="C329" s="6"/>
      <c r="D329" s="6"/>
      <c r="E329" s="6"/>
      <c r="F329" s="6"/>
    </row>
    <row r="330" spans="1:6" ht="15.75" customHeight="1">
      <c r="A330" s="6"/>
      <c r="B330" s="6"/>
      <c r="C330" s="6"/>
      <c r="D330" s="6"/>
      <c r="E330" s="6"/>
      <c r="F330" s="6"/>
    </row>
    <row r="331" spans="1:6" ht="15.75" customHeight="1">
      <c r="A331" s="6"/>
      <c r="B331" s="6"/>
      <c r="C331" s="6"/>
      <c r="D331" s="6"/>
      <c r="E331" s="6"/>
      <c r="F331" s="6"/>
    </row>
    <row r="332" spans="1:6" ht="15.75" customHeight="1">
      <c r="A332" s="6"/>
      <c r="B332" s="6"/>
      <c r="C332" s="6"/>
      <c r="D332" s="6"/>
      <c r="E332" s="6"/>
      <c r="F332" s="6"/>
    </row>
    <row r="333" spans="1:6" ht="15.75" customHeight="1">
      <c r="A333" s="6"/>
      <c r="B333" s="6"/>
      <c r="C333" s="6"/>
      <c r="D333" s="6"/>
      <c r="E333" s="6"/>
      <c r="F333" s="6"/>
    </row>
    <row r="334" spans="1:6" ht="15.75" customHeight="1">
      <c r="A334" s="6"/>
      <c r="B334" s="6"/>
      <c r="C334" s="6"/>
      <c r="D334" s="6"/>
      <c r="E334" s="6"/>
      <c r="F334" s="6"/>
    </row>
    <row r="335" spans="1:6" ht="15.75" customHeight="1">
      <c r="A335" s="6"/>
      <c r="B335" s="6"/>
      <c r="C335" s="6"/>
      <c r="D335" s="6"/>
      <c r="E335" s="6"/>
      <c r="F335" s="6"/>
    </row>
    <row r="336" spans="1:6" ht="15.75" customHeight="1">
      <c r="A336" s="6"/>
      <c r="B336" s="6"/>
      <c r="C336" s="6"/>
      <c r="D336" s="6"/>
      <c r="E336" s="6"/>
      <c r="F336" s="6"/>
    </row>
    <row r="337" spans="1:6" ht="15.75" customHeight="1">
      <c r="A337" s="6"/>
      <c r="B337" s="6"/>
      <c r="C337" s="6"/>
      <c r="D337" s="6"/>
      <c r="E337" s="6"/>
      <c r="F337" s="6"/>
    </row>
    <row r="338" spans="1:6" ht="15.75" customHeight="1">
      <c r="A338" s="6"/>
      <c r="B338" s="6"/>
      <c r="C338" s="6"/>
      <c r="D338" s="6"/>
      <c r="E338" s="6"/>
      <c r="F338" s="6"/>
    </row>
    <row r="339" spans="1:6" ht="15.75" customHeight="1">
      <c r="A339" s="6"/>
      <c r="B339" s="6"/>
      <c r="C339" s="6"/>
      <c r="D339" s="6"/>
      <c r="E339" s="6"/>
      <c r="F339" s="6"/>
    </row>
    <row r="340" spans="1:6" ht="15.75" customHeight="1">
      <c r="A340" s="6"/>
      <c r="B340" s="6"/>
      <c r="C340" s="6"/>
      <c r="D340" s="6"/>
      <c r="E340" s="6"/>
      <c r="F340" s="6"/>
    </row>
    <row r="341" spans="1:6" ht="15.75" customHeight="1">
      <c r="A341" s="6"/>
      <c r="B341" s="6"/>
      <c r="C341" s="6"/>
      <c r="D341" s="6"/>
      <c r="E341" s="6"/>
      <c r="F341" s="6"/>
    </row>
    <row r="342" spans="1:6" ht="15.75" customHeight="1">
      <c r="A342" s="6"/>
      <c r="B342" s="6"/>
      <c r="C342" s="6"/>
      <c r="D342" s="6"/>
      <c r="E342" s="6"/>
      <c r="F342" s="6"/>
    </row>
    <row r="343" spans="1:6" ht="15.75" customHeight="1">
      <c r="A343" s="6"/>
      <c r="B343" s="6"/>
      <c r="C343" s="6"/>
      <c r="D343" s="6"/>
      <c r="E343" s="6"/>
      <c r="F343" s="6"/>
    </row>
    <row r="344" spans="1:6" ht="15.75" customHeight="1">
      <c r="A344" s="6"/>
      <c r="B344" s="6"/>
      <c r="C344" s="6"/>
      <c r="D344" s="6"/>
      <c r="E344" s="6"/>
      <c r="F344" s="6"/>
    </row>
    <row r="345" spans="1:6" ht="15.75" customHeight="1">
      <c r="A345" s="6"/>
      <c r="B345" s="6"/>
      <c r="C345" s="6"/>
      <c r="D345" s="6"/>
      <c r="E345" s="6"/>
      <c r="F345" s="6"/>
    </row>
    <row r="346" spans="1:6" ht="15.75" customHeight="1">
      <c r="A346" s="6"/>
      <c r="B346" s="6"/>
      <c r="C346" s="6"/>
      <c r="D346" s="6"/>
      <c r="E346" s="6"/>
      <c r="F346" s="6"/>
    </row>
    <row r="347" spans="1:6" ht="15.75" customHeight="1">
      <c r="A347" s="6"/>
      <c r="B347" s="6"/>
      <c r="C347" s="6"/>
      <c r="D347" s="6"/>
      <c r="E347" s="6"/>
      <c r="F347" s="6"/>
    </row>
    <row r="348" spans="1:6" ht="15.75" customHeight="1">
      <c r="A348" s="6"/>
      <c r="B348" s="6"/>
      <c r="C348" s="6"/>
      <c r="D348" s="6"/>
      <c r="E348" s="6"/>
      <c r="F348" s="6"/>
    </row>
    <row r="349" spans="1:6" ht="15.75" customHeight="1">
      <c r="A349" s="6"/>
      <c r="B349" s="6"/>
      <c r="C349" s="6"/>
      <c r="D349" s="6"/>
      <c r="E349" s="6"/>
      <c r="F349" s="6"/>
    </row>
    <row r="350" spans="1:6" ht="15.75" customHeight="1">
      <c r="A350" s="6"/>
      <c r="B350" s="6"/>
      <c r="C350" s="6"/>
      <c r="D350" s="6"/>
      <c r="E350" s="6"/>
      <c r="F350" s="6"/>
    </row>
    <row r="351" spans="1:6" ht="15.75" customHeight="1">
      <c r="A351" s="6"/>
      <c r="B351" s="6"/>
      <c r="C351" s="6"/>
      <c r="D351" s="6"/>
      <c r="E351" s="6"/>
      <c r="F351" s="6"/>
    </row>
    <row r="352" spans="1:6" ht="15.75" customHeight="1">
      <c r="A352" s="6"/>
      <c r="B352" s="6"/>
      <c r="C352" s="6"/>
      <c r="D352" s="6"/>
      <c r="E352" s="6"/>
      <c r="F352" s="6"/>
    </row>
    <row r="353" spans="1:6" ht="15.75" customHeight="1">
      <c r="A353" s="6"/>
      <c r="B353" s="6"/>
      <c r="C353" s="6"/>
      <c r="D353" s="6"/>
      <c r="E353" s="6"/>
      <c r="F353" s="6"/>
    </row>
    <row r="354" spans="1:6" ht="15.75" customHeight="1">
      <c r="A354" s="6"/>
      <c r="B354" s="6"/>
      <c r="C354" s="6"/>
      <c r="D354" s="6"/>
      <c r="E354" s="6"/>
      <c r="F354" s="6"/>
    </row>
    <row r="355" spans="1:6" ht="15.75" customHeight="1">
      <c r="A355" s="6"/>
      <c r="B355" s="6"/>
      <c r="C355" s="6"/>
      <c r="D355" s="6"/>
      <c r="E355" s="6"/>
      <c r="F355" s="6"/>
    </row>
    <row r="356" spans="1:6" ht="15.75" customHeight="1">
      <c r="A356" s="6"/>
      <c r="B356" s="6"/>
      <c r="C356" s="6"/>
      <c r="D356" s="6"/>
      <c r="E356" s="6"/>
      <c r="F356" s="6"/>
    </row>
    <row r="357" spans="1:6" ht="15.75" customHeight="1">
      <c r="A357" s="6"/>
      <c r="B357" s="6"/>
      <c r="C357" s="6"/>
      <c r="D357" s="6"/>
      <c r="E357" s="6"/>
      <c r="F357" s="6"/>
    </row>
    <row r="358" spans="1:6" ht="15.75" customHeight="1">
      <c r="A358" s="6"/>
      <c r="B358" s="6"/>
      <c r="C358" s="6"/>
      <c r="D358" s="6"/>
      <c r="E358" s="6"/>
      <c r="F358" s="6"/>
    </row>
    <row r="359" spans="1:6" ht="15.75" customHeight="1">
      <c r="A359" s="6"/>
      <c r="B359" s="6"/>
      <c r="C359" s="6"/>
      <c r="D359" s="6"/>
      <c r="E359" s="6"/>
      <c r="F359" s="6"/>
    </row>
    <row r="360" spans="1:6" ht="15.75" customHeight="1">
      <c r="A360" s="6"/>
      <c r="B360" s="6"/>
      <c r="C360" s="6"/>
      <c r="D360" s="6"/>
      <c r="E360" s="6"/>
      <c r="F360" s="6"/>
    </row>
    <row r="361" spans="1:6" ht="15.75" customHeight="1">
      <c r="A361" s="6"/>
      <c r="B361" s="6"/>
      <c r="C361" s="6"/>
      <c r="D361" s="6"/>
      <c r="E361" s="6"/>
      <c r="F361" s="6"/>
    </row>
    <row r="362" spans="1:6" ht="15.75" customHeight="1">
      <c r="A362" s="6"/>
      <c r="B362" s="6"/>
      <c r="C362" s="6"/>
      <c r="D362" s="6"/>
      <c r="E362" s="6"/>
      <c r="F362" s="6"/>
    </row>
    <row r="363" spans="1:6" ht="15.75" customHeight="1">
      <c r="A363" s="6"/>
      <c r="B363" s="6"/>
      <c r="C363" s="6"/>
      <c r="D363" s="6"/>
      <c r="E363" s="6"/>
      <c r="F363" s="6"/>
    </row>
    <row r="364" spans="1:6" ht="15.75" customHeight="1">
      <c r="A364" s="6"/>
      <c r="B364" s="6"/>
      <c r="C364" s="6"/>
      <c r="D364" s="6"/>
      <c r="E364" s="6"/>
      <c r="F364" s="6"/>
    </row>
    <row r="365" spans="1:6" ht="15.75" customHeight="1">
      <c r="A365" s="6"/>
      <c r="B365" s="6"/>
      <c r="C365" s="6"/>
      <c r="D365" s="6"/>
      <c r="E365" s="6"/>
      <c r="F365" s="6"/>
    </row>
    <row r="366" spans="1:6" ht="15.75" customHeight="1">
      <c r="A366" s="6"/>
      <c r="B366" s="6"/>
      <c r="C366" s="6"/>
      <c r="D366" s="6"/>
      <c r="E366" s="6"/>
      <c r="F366" s="6"/>
    </row>
    <row r="367" spans="1:6" ht="15.75" customHeight="1">
      <c r="A367" s="6"/>
      <c r="B367" s="6"/>
      <c r="C367" s="6"/>
      <c r="D367" s="6"/>
      <c r="E367" s="6"/>
      <c r="F367" s="6"/>
    </row>
    <row r="368" spans="1:6" ht="15.75" customHeight="1">
      <c r="A368" s="6"/>
      <c r="B368" s="6"/>
      <c r="C368" s="6"/>
      <c r="D368" s="6"/>
      <c r="E368" s="6"/>
      <c r="F368" s="6"/>
    </row>
    <row r="369" spans="1:6" ht="15.75" customHeight="1">
      <c r="A369" s="6"/>
      <c r="B369" s="6"/>
      <c r="C369" s="6"/>
      <c r="D369" s="6"/>
      <c r="E369" s="6"/>
      <c r="F369" s="6"/>
    </row>
    <row r="370" spans="1:6" ht="15.75" customHeight="1">
      <c r="A370" s="6"/>
      <c r="B370" s="6"/>
      <c r="C370" s="6"/>
      <c r="D370" s="6"/>
      <c r="E370" s="6"/>
      <c r="F370" s="6"/>
    </row>
    <row r="371" spans="1:6" ht="15.75" customHeight="1">
      <c r="A371" s="6"/>
      <c r="B371" s="6"/>
      <c r="C371" s="6"/>
      <c r="D371" s="6"/>
      <c r="E371" s="6"/>
      <c r="F371" s="6"/>
    </row>
    <row r="372" spans="1:6" ht="15.75" customHeight="1">
      <c r="A372" s="6"/>
      <c r="B372" s="6"/>
      <c r="C372" s="6"/>
      <c r="D372" s="6"/>
      <c r="E372" s="6"/>
      <c r="F372" s="6"/>
    </row>
    <row r="373" spans="1:6" ht="15.75" customHeight="1">
      <c r="A373" s="6"/>
      <c r="B373" s="6"/>
      <c r="C373" s="6"/>
      <c r="D373" s="6"/>
      <c r="E373" s="6"/>
      <c r="F373" s="6"/>
    </row>
    <row r="374" spans="1:6" ht="15.75" customHeight="1">
      <c r="A374" s="6"/>
      <c r="B374" s="6"/>
      <c r="C374" s="6"/>
      <c r="D374" s="6"/>
      <c r="E374" s="6"/>
      <c r="F374" s="6"/>
    </row>
    <row r="375" spans="1:6" ht="15.75" customHeight="1">
      <c r="A375" s="6"/>
      <c r="B375" s="6"/>
      <c r="C375" s="6"/>
      <c r="D375" s="6"/>
      <c r="E375" s="6"/>
      <c r="F375" s="6"/>
    </row>
    <row r="376" spans="1:6" ht="15.75" customHeight="1">
      <c r="A376" s="6"/>
      <c r="B376" s="6"/>
      <c r="C376" s="6"/>
      <c r="D376" s="6"/>
      <c r="E376" s="6"/>
      <c r="F376" s="6"/>
    </row>
    <row r="377" spans="1:6" ht="15.75" customHeight="1">
      <c r="A377" s="6"/>
      <c r="B377" s="6"/>
      <c r="C377" s="6"/>
      <c r="D377" s="6"/>
      <c r="E377" s="6"/>
      <c r="F377" s="6"/>
    </row>
    <row r="378" spans="1:6" ht="15.75" customHeight="1">
      <c r="A378" s="6"/>
      <c r="B378" s="6"/>
      <c r="C378" s="6"/>
      <c r="D378" s="6"/>
      <c r="E378" s="6"/>
      <c r="F378" s="6"/>
    </row>
    <row r="379" spans="1:6" ht="15.75" customHeight="1">
      <c r="A379" s="6"/>
      <c r="B379" s="6"/>
      <c r="C379" s="6"/>
      <c r="D379" s="6"/>
      <c r="E379" s="6"/>
      <c r="F379" s="6"/>
    </row>
    <row r="380" spans="1:6" ht="15.75" customHeight="1">
      <c r="A380" s="6"/>
      <c r="B380" s="6"/>
      <c r="C380" s="6"/>
      <c r="D380" s="6"/>
      <c r="E380" s="6"/>
      <c r="F380" s="6"/>
    </row>
    <row r="381" spans="1:6" ht="15.75" customHeight="1">
      <c r="A381" s="6"/>
      <c r="B381" s="6"/>
      <c r="C381" s="6"/>
      <c r="D381" s="6"/>
      <c r="E381" s="6"/>
      <c r="F381" s="6"/>
    </row>
    <row r="382" spans="1:6" ht="15.75" customHeight="1">
      <c r="A382" s="6"/>
      <c r="B382" s="6"/>
      <c r="C382" s="6"/>
      <c r="D382" s="6"/>
      <c r="E382" s="6"/>
      <c r="F382" s="6"/>
    </row>
    <row r="383" spans="1:6" ht="15.75" customHeight="1">
      <c r="A383" s="6"/>
      <c r="B383" s="6"/>
      <c r="C383" s="6"/>
      <c r="D383" s="6"/>
      <c r="E383" s="6"/>
      <c r="F383" s="6"/>
    </row>
    <row r="384" spans="1:6" ht="15.75" customHeight="1">
      <c r="A384" s="6"/>
      <c r="B384" s="6"/>
      <c r="C384" s="6"/>
      <c r="D384" s="6"/>
      <c r="E384" s="6"/>
      <c r="F384" s="6"/>
    </row>
    <row r="385" spans="1:6" ht="15.75" customHeight="1">
      <c r="A385" s="6"/>
      <c r="B385" s="6"/>
      <c r="C385" s="6"/>
      <c r="D385" s="6"/>
      <c r="E385" s="6"/>
      <c r="F385" s="6"/>
    </row>
    <row r="386" spans="1:6" ht="15.75" customHeight="1">
      <c r="A386" s="6"/>
      <c r="B386" s="6"/>
      <c r="C386" s="6"/>
      <c r="D386" s="6"/>
      <c r="E386" s="6"/>
      <c r="F386" s="6"/>
    </row>
    <row r="387" spans="1:6" ht="15.75" customHeight="1">
      <c r="A387" s="6"/>
      <c r="B387" s="6"/>
      <c r="C387" s="6"/>
      <c r="D387" s="6"/>
      <c r="E387" s="6"/>
      <c r="F387" s="6"/>
    </row>
    <row r="388" spans="1:6" ht="15.75" customHeight="1">
      <c r="A388" s="6"/>
      <c r="B388" s="6"/>
      <c r="C388" s="6"/>
      <c r="D388" s="6"/>
      <c r="E388" s="6"/>
      <c r="F388" s="6"/>
    </row>
    <row r="389" spans="1:6" ht="15.75" customHeight="1">
      <c r="A389" s="6"/>
      <c r="B389" s="6"/>
      <c r="C389" s="6"/>
      <c r="D389" s="6"/>
      <c r="E389" s="6"/>
      <c r="F389" s="6"/>
    </row>
    <row r="390" spans="1:6" ht="15.75" customHeight="1">
      <c r="A390" s="6"/>
      <c r="B390" s="6"/>
      <c r="C390" s="6"/>
      <c r="D390" s="6"/>
      <c r="E390" s="6"/>
      <c r="F390" s="6"/>
    </row>
    <row r="391" spans="1:6" ht="15.75" customHeight="1">
      <c r="A391" s="6"/>
      <c r="B391" s="6"/>
      <c r="C391" s="6"/>
      <c r="D391" s="6"/>
      <c r="E391" s="6"/>
      <c r="F391" s="6"/>
    </row>
    <row r="392" spans="1:6" ht="15.75" customHeight="1">
      <c r="A392" s="6"/>
      <c r="B392" s="6"/>
      <c r="C392" s="6"/>
      <c r="D392" s="6"/>
      <c r="E392" s="6"/>
      <c r="F392" s="6"/>
    </row>
    <row r="393" spans="1:6" ht="15.75" customHeight="1">
      <c r="A393" s="6"/>
      <c r="B393" s="6"/>
      <c r="C393" s="6"/>
      <c r="D393" s="6"/>
      <c r="E393" s="6"/>
      <c r="F393" s="6"/>
    </row>
    <row r="394" spans="1:6" ht="15.75" customHeight="1">
      <c r="A394" s="6"/>
      <c r="B394" s="6"/>
      <c r="C394" s="6"/>
      <c r="D394" s="6"/>
      <c r="E394" s="6"/>
      <c r="F394" s="6"/>
    </row>
    <row r="395" spans="1:6" ht="15.75" customHeight="1">
      <c r="A395" s="6"/>
      <c r="B395" s="6"/>
      <c r="C395" s="6"/>
      <c r="D395" s="6"/>
      <c r="E395" s="6"/>
      <c r="F395" s="6"/>
    </row>
    <row r="396" spans="1:6" ht="15.75" customHeight="1">
      <c r="A396" s="6"/>
      <c r="B396" s="6"/>
      <c r="C396" s="6"/>
      <c r="D396" s="6"/>
      <c r="E396" s="6"/>
      <c r="F396" s="6"/>
    </row>
    <row r="397" spans="1:6" ht="15.75" customHeight="1">
      <c r="A397" s="6"/>
      <c r="B397" s="6"/>
      <c r="C397" s="6"/>
      <c r="D397" s="6"/>
      <c r="E397" s="6"/>
      <c r="F397" s="6"/>
    </row>
    <row r="398" spans="1:6" ht="15.75" customHeight="1">
      <c r="A398" s="6"/>
      <c r="B398" s="6"/>
      <c r="C398" s="6"/>
      <c r="D398" s="6"/>
      <c r="E398" s="6"/>
      <c r="F398" s="6"/>
    </row>
    <row r="399" spans="1:6" ht="15.75" customHeight="1">
      <c r="A399" s="6"/>
      <c r="B399" s="6"/>
      <c r="C399" s="6"/>
      <c r="D399" s="6"/>
      <c r="E399" s="6"/>
      <c r="F399" s="6"/>
    </row>
    <row r="400" spans="1:6" ht="15.75" customHeight="1">
      <c r="A400" s="6"/>
      <c r="B400" s="6"/>
      <c r="C400" s="6"/>
      <c r="D400" s="6"/>
      <c r="E400" s="6"/>
      <c r="F400" s="6"/>
    </row>
    <row r="401" spans="1:6" ht="15.75" customHeight="1">
      <c r="A401" s="6"/>
      <c r="B401" s="6"/>
      <c r="C401" s="6"/>
      <c r="D401" s="6"/>
      <c r="E401" s="6"/>
      <c r="F401" s="6"/>
    </row>
    <row r="402" spans="1:6" ht="15.75" customHeight="1">
      <c r="A402" s="6"/>
      <c r="B402" s="6"/>
      <c r="C402" s="6"/>
      <c r="D402" s="6"/>
      <c r="E402" s="6"/>
      <c r="F402" s="6"/>
    </row>
    <row r="403" spans="1:6" ht="15.75" customHeight="1">
      <c r="A403" s="6"/>
      <c r="B403" s="6"/>
      <c r="C403" s="6"/>
      <c r="D403" s="6"/>
      <c r="E403" s="6"/>
      <c r="F403" s="6"/>
    </row>
    <row r="404" spans="1:6" ht="15.75" customHeight="1">
      <c r="A404" s="6"/>
      <c r="B404" s="6"/>
      <c r="C404" s="6"/>
      <c r="D404" s="6"/>
      <c r="E404" s="6"/>
      <c r="F404" s="6"/>
    </row>
    <row r="405" spans="1:6" ht="15.75" customHeight="1">
      <c r="A405" s="6"/>
      <c r="B405" s="6"/>
      <c r="C405" s="6"/>
      <c r="D405" s="6"/>
      <c r="E405" s="6"/>
      <c r="F405" s="6"/>
    </row>
    <row r="406" spans="1:6" ht="15.75" customHeight="1">
      <c r="A406" s="6"/>
      <c r="B406" s="6"/>
      <c r="C406" s="6"/>
      <c r="D406" s="6"/>
      <c r="E406" s="6"/>
      <c r="F406" s="6"/>
    </row>
    <row r="407" spans="1:6" ht="15.75" customHeight="1">
      <c r="A407" s="6"/>
      <c r="B407" s="6"/>
      <c r="C407" s="6"/>
      <c r="D407" s="6"/>
      <c r="E407" s="6"/>
      <c r="F407" s="6"/>
    </row>
    <row r="408" spans="1:6" ht="15.75" customHeight="1">
      <c r="A408" s="6"/>
      <c r="B408" s="6"/>
      <c r="C408" s="6"/>
      <c r="D408" s="6"/>
      <c r="E408" s="6"/>
      <c r="F408" s="6"/>
    </row>
    <row r="409" spans="1:6" ht="15.75" customHeight="1">
      <c r="A409" s="6"/>
      <c r="B409" s="6"/>
      <c r="C409" s="6"/>
      <c r="D409" s="6"/>
      <c r="E409" s="6"/>
      <c r="F409" s="6"/>
    </row>
    <row r="410" spans="1:6" ht="15.75" customHeight="1">
      <c r="A410" s="6"/>
      <c r="B410" s="6"/>
      <c r="C410" s="6"/>
      <c r="D410" s="6"/>
      <c r="E410" s="6"/>
      <c r="F410" s="6"/>
    </row>
    <row r="411" spans="1:6" ht="15.75" customHeight="1">
      <c r="A411" s="6"/>
      <c r="B411" s="6"/>
      <c r="C411" s="6"/>
      <c r="D411" s="6"/>
      <c r="E411" s="6"/>
      <c r="F411" s="6"/>
    </row>
    <row r="412" spans="1:6" ht="15.75" customHeight="1">
      <c r="A412" s="6"/>
      <c r="B412" s="6"/>
      <c r="C412" s="6"/>
      <c r="D412" s="6"/>
      <c r="E412" s="6"/>
      <c r="F412" s="6"/>
    </row>
    <row r="413" spans="1:6" ht="15.75" customHeight="1">
      <c r="A413" s="6"/>
      <c r="B413" s="6"/>
      <c r="C413" s="6"/>
      <c r="D413" s="6"/>
      <c r="E413" s="6"/>
      <c r="F413" s="6"/>
    </row>
    <row r="414" spans="1:6" ht="15.75" customHeight="1">
      <c r="A414" s="6"/>
      <c r="B414" s="6"/>
      <c r="C414" s="6"/>
      <c r="D414" s="6"/>
      <c r="E414" s="6"/>
      <c r="F414" s="6"/>
    </row>
    <row r="415" spans="1:6" ht="15.75" customHeight="1">
      <c r="A415" s="6"/>
      <c r="B415" s="6"/>
      <c r="C415" s="6"/>
      <c r="D415" s="6"/>
      <c r="E415" s="6"/>
      <c r="F415" s="6"/>
    </row>
    <row r="416" spans="1:6" ht="15.75" customHeight="1">
      <c r="A416" s="6"/>
      <c r="B416" s="6"/>
      <c r="C416" s="6"/>
      <c r="D416" s="6"/>
      <c r="E416" s="6"/>
      <c r="F416" s="6"/>
    </row>
    <row r="417" spans="1:6" ht="15.75" customHeight="1">
      <c r="A417" s="6"/>
      <c r="B417" s="6"/>
      <c r="C417" s="6"/>
      <c r="D417" s="6"/>
      <c r="E417" s="6"/>
      <c r="F417" s="6"/>
    </row>
    <row r="418" spans="1:6" ht="15.75" customHeight="1">
      <c r="A418" s="6"/>
      <c r="B418" s="6"/>
      <c r="C418" s="6"/>
      <c r="D418" s="6"/>
      <c r="E418" s="6"/>
      <c r="F418" s="6"/>
    </row>
    <row r="419" spans="1:6" ht="15.75" customHeight="1">
      <c r="A419" s="6"/>
      <c r="B419" s="6"/>
      <c r="C419" s="6"/>
      <c r="D419" s="6"/>
      <c r="E419" s="6"/>
      <c r="F419" s="6"/>
    </row>
    <row r="420" spans="1:6" ht="15.75" customHeight="1">
      <c r="A420" s="6"/>
      <c r="B420" s="6"/>
      <c r="C420" s="6"/>
      <c r="D420" s="6"/>
      <c r="E420" s="6"/>
      <c r="F420" s="6"/>
    </row>
    <row r="421" spans="1:6" ht="15.75" customHeight="1">
      <c r="A421" s="6"/>
      <c r="B421" s="6"/>
      <c r="C421" s="6"/>
      <c r="D421" s="6"/>
      <c r="E421" s="6"/>
      <c r="F421" s="6"/>
    </row>
    <row r="422" spans="1:6" ht="15.75" customHeight="1">
      <c r="A422" s="6"/>
      <c r="B422" s="6"/>
      <c r="C422" s="6"/>
      <c r="D422" s="6"/>
      <c r="E422" s="6"/>
      <c r="F422" s="6"/>
    </row>
    <row r="423" spans="1:6" ht="15.75" customHeight="1">
      <c r="A423" s="6"/>
      <c r="B423" s="6"/>
      <c r="C423" s="6"/>
      <c r="D423" s="6"/>
      <c r="E423" s="6"/>
      <c r="F423" s="6"/>
    </row>
    <row r="424" spans="1:6" ht="15.75" customHeight="1">
      <c r="A424" s="6"/>
      <c r="B424" s="6"/>
      <c r="C424" s="6"/>
      <c r="D424" s="6"/>
      <c r="E424" s="6"/>
      <c r="F424" s="6"/>
    </row>
    <row r="425" spans="1:6" ht="15.75" customHeight="1">
      <c r="A425" s="6"/>
      <c r="B425" s="6"/>
      <c r="C425" s="6"/>
      <c r="D425" s="6"/>
      <c r="E425" s="6"/>
      <c r="F425" s="6"/>
    </row>
    <row r="426" spans="1:6" ht="15.75" customHeight="1">
      <c r="A426" s="6"/>
      <c r="B426" s="6"/>
      <c r="C426" s="6"/>
      <c r="D426" s="6"/>
      <c r="E426" s="6"/>
      <c r="F426" s="6"/>
    </row>
    <row r="427" spans="1:6" ht="15.75" customHeight="1">
      <c r="A427" s="6"/>
      <c r="B427" s="6"/>
      <c r="C427" s="6"/>
      <c r="D427" s="6"/>
      <c r="E427" s="6"/>
      <c r="F427" s="6"/>
    </row>
    <row r="428" spans="1:6" ht="15.75" customHeight="1">
      <c r="A428" s="6"/>
      <c r="B428" s="6"/>
      <c r="C428" s="6"/>
      <c r="D428" s="6"/>
      <c r="E428" s="6"/>
      <c r="F428" s="6"/>
    </row>
    <row r="429" spans="1:6" ht="15.75" customHeight="1">
      <c r="A429" s="6"/>
      <c r="B429" s="6"/>
      <c r="C429" s="6"/>
      <c r="D429" s="6"/>
      <c r="E429" s="6"/>
      <c r="F429" s="6"/>
    </row>
    <row r="430" spans="1:6" ht="15.75" customHeight="1">
      <c r="A430" s="6"/>
      <c r="B430" s="6"/>
      <c r="C430" s="6"/>
      <c r="D430" s="6"/>
      <c r="E430" s="6"/>
      <c r="F430" s="6"/>
    </row>
    <row r="431" spans="1:6" ht="15.75" customHeight="1">
      <c r="A431" s="6"/>
      <c r="B431" s="6"/>
      <c r="C431" s="6"/>
      <c r="D431" s="6"/>
      <c r="E431" s="6"/>
      <c r="F431" s="6"/>
    </row>
    <row r="432" spans="1:6" ht="15.75" customHeight="1">
      <c r="A432" s="6"/>
      <c r="B432" s="6"/>
      <c r="C432" s="6"/>
      <c r="D432" s="6"/>
      <c r="E432" s="6"/>
      <c r="F432" s="6"/>
    </row>
    <row r="433" spans="1:6" ht="15.75" customHeight="1">
      <c r="A433" s="6"/>
      <c r="B433" s="6"/>
      <c r="C433" s="6"/>
      <c r="D433" s="6"/>
      <c r="E433" s="6"/>
      <c r="F433" s="6"/>
    </row>
    <row r="434" spans="1:6" ht="15.75" customHeight="1">
      <c r="A434" s="6"/>
      <c r="B434" s="6"/>
      <c r="C434" s="6"/>
      <c r="D434" s="6"/>
      <c r="E434" s="6"/>
      <c r="F434" s="6"/>
    </row>
    <row r="435" spans="1:6" ht="15.75" customHeight="1">
      <c r="A435" s="6"/>
      <c r="B435" s="6"/>
      <c r="C435" s="6"/>
      <c r="D435" s="6"/>
      <c r="E435" s="6"/>
      <c r="F435" s="6"/>
    </row>
    <row r="436" spans="1:6" ht="15.75" customHeight="1">
      <c r="A436" s="6"/>
      <c r="B436" s="6"/>
      <c r="C436" s="6"/>
      <c r="D436" s="6"/>
      <c r="E436" s="6"/>
      <c r="F436" s="6"/>
    </row>
    <row r="437" spans="1:6" ht="15.75" customHeight="1">
      <c r="A437" s="6"/>
      <c r="B437" s="6"/>
      <c r="C437" s="6"/>
      <c r="D437" s="6"/>
      <c r="E437" s="6"/>
      <c r="F437" s="6"/>
    </row>
    <row r="438" spans="1:6" ht="15.75" customHeight="1">
      <c r="A438" s="6"/>
      <c r="B438" s="6"/>
      <c r="C438" s="6"/>
      <c r="D438" s="6"/>
      <c r="E438" s="6"/>
      <c r="F438" s="6"/>
    </row>
    <row r="439" spans="1:6" ht="15.75" customHeight="1">
      <c r="A439" s="6"/>
      <c r="B439" s="6"/>
      <c r="C439" s="6"/>
      <c r="D439" s="6"/>
      <c r="E439" s="6"/>
      <c r="F439" s="6"/>
    </row>
    <row r="440" spans="1:6" ht="15.75" customHeight="1">
      <c r="A440" s="6"/>
      <c r="B440" s="6"/>
      <c r="C440" s="6"/>
      <c r="D440" s="6"/>
      <c r="E440" s="6"/>
      <c r="F440" s="6"/>
    </row>
    <row r="441" spans="1:6" ht="15.75" customHeight="1">
      <c r="A441" s="6"/>
      <c r="B441" s="6"/>
      <c r="C441" s="6"/>
      <c r="D441" s="6"/>
      <c r="E441" s="6"/>
      <c r="F441" s="6"/>
    </row>
    <row r="442" spans="1:6" ht="15.75" customHeight="1">
      <c r="A442" s="6"/>
      <c r="B442" s="6"/>
      <c r="C442" s="6"/>
      <c r="D442" s="6"/>
      <c r="E442" s="6"/>
      <c r="F442" s="6"/>
    </row>
    <row r="443" spans="1:6" ht="15.75" customHeight="1">
      <c r="A443" s="6"/>
      <c r="B443" s="6"/>
      <c r="C443" s="6"/>
      <c r="D443" s="6"/>
      <c r="E443" s="6"/>
      <c r="F443" s="6"/>
    </row>
    <row r="444" spans="1:6" ht="15.75" customHeight="1">
      <c r="A444" s="6"/>
      <c r="B444" s="6"/>
      <c r="C444" s="6"/>
      <c r="D444" s="6"/>
      <c r="E444" s="6"/>
      <c r="F444" s="6"/>
    </row>
    <row r="445" spans="1:6" ht="15.75" customHeight="1">
      <c r="A445" s="6"/>
      <c r="B445" s="6"/>
      <c r="C445" s="6"/>
      <c r="D445" s="6"/>
      <c r="E445" s="6"/>
      <c r="F445" s="6"/>
    </row>
    <row r="446" spans="1:6" ht="15.75" customHeight="1">
      <c r="A446" s="6"/>
      <c r="B446" s="6"/>
      <c r="C446" s="6"/>
      <c r="D446" s="6"/>
      <c r="E446" s="6"/>
      <c r="F446" s="6"/>
    </row>
    <row r="447" spans="1:6" ht="15.75" customHeight="1">
      <c r="A447" s="6"/>
      <c r="B447" s="6"/>
      <c r="C447" s="6"/>
      <c r="D447" s="6"/>
      <c r="E447" s="6"/>
      <c r="F447" s="6"/>
    </row>
    <row r="448" spans="1:6" ht="15.75" customHeight="1">
      <c r="A448" s="6"/>
      <c r="B448" s="6"/>
      <c r="C448" s="6"/>
      <c r="D448" s="6"/>
      <c r="E448" s="6"/>
      <c r="F448" s="6"/>
    </row>
    <row r="449" spans="1:6" ht="15.75" customHeight="1">
      <c r="A449" s="6"/>
      <c r="B449" s="6"/>
      <c r="C449" s="6"/>
      <c r="D449" s="6"/>
      <c r="E449" s="6"/>
      <c r="F449" s="6"/>
    </row>
    <row r="450" spans="1:6" ht="15.75" customHeight="1">
      <c r="A450" s="6"/>
      <c r="B450" s="6"/>
      <c r="C450" s="6"/>
      <c r="D450" s="6"/>
      <c r="E450" s="6"/>
      <c r="F450" s="6"/>
    </row>
    <row r="451" spans="1:6" ht="15.75" customHeight="1">
      <c r="A451" s="6"/>
      <c r="B451" s="6"/>
      <c r="C451" s="6"/>
      <c r="D451" s="6"/>
      <c r="E451" s="6"/>
      <c r="F451" s="6"/>
    </row>
    <row r="452" spans="1:6" ht="15.75" customHeight="1">
      <c r="A452" s="6"/>
      <c r="B452" s="6"/>
      <c r="C452" s="6"/>
      <c r="D452" s="6"/>
      <c r="E452" s="6"/>
      <c r="F452" s="6"/>
    </row>
    <row r="453" spans="1:6" ht="15.75" customHeight="1">
      <c r="A453" s="6"/>
      <c r="B453" s="6"/>
      <c r="C453" s="6"/>
      <c r="D453" s="6"/>
      <c r="E453" s="6"/>
      <c r="F453" s="6"/>
    </row>
    <row r="454" spans="1:6" ht="15.75" customHeight="1">
      <c r="A454" s="6"/>
      <c r="B454" s="6"/>
      <c r="C454" s="6"/>
      <c r="D454" s="6"/>
      <c r="E454" s="6"/>
      <c r="F454" s="6"/>
    </row>
    <row r="455" spans="1:6" ht="15.75" customHeight="1">
      <c r="A455" s="6"/>
      <c r="B455" s="6"/>
      <c r="C455" s="6"/>
      <c r="D455" s="6"/>
      <c r="E455" s="6"/>
      <c r="F455" s="6"/>
    </row>
    <row r="456" spans="1:6" ht="15.75" customHeight="1">
      <c r="A456" s="6"/>
      <c r="B456" s="6"/>
      <c r="C456" s="6"/>
      <c r="D456" s="6"/>
      <c r="E456" s="6"/>
      <c r="F456" s="6"/>
    </row>
    <row r="457" spans="1:6" ht="15.75" customHeight="1">
      <c r="A457" s="6"/>
      <c r="B457" s="6"/>
      <c r="C457" s="6"/>
      <c r="D457" s="6"/>
      <c r="E457" s="6"/>
      <c r="F457" s="6"/>
    </row>
    <row r="458" spans="1:6" ht="15.75" customHeight="1">
      <c r="A458" s="6"/>
      <c r="B458" s="6"/>
      <c r="C458" s="6"/>
      <c r="D458" s="6"/>
      <c r="E458" s="6"/>
      <c r="F458" s="6"/>
    </row>
    <row r="459" spans="1:6" ht="15.75" customHeight="1">
      <c r="A459" s="6"/>
      <c r="B459" s="6"/>
      <c r="C459" s="6"/>
      <c r="D459" s="6"/>
      <c r="E459" s="6"/>
      <c r="F459" s="6"/>
    </row>
    <row r="460" spans="1:6" ht="15.75" customHeight="1">
      <c r="A460" s="6"/>
      <c r="B460" s="6"/>
      <c r="C460" s="6"/>
      <c r="D460" s="6"/>
      <c r="E460" s="6"/>
      <c r="F460" s="6"/>
    </row>
    <row r="461" spans="1:6" ht="15.75" customHeight="1">
      <c r="A461" s="6"/>
      <c r="B461" s="6"/>
      <c r="C461" s="6"/>
      <c r="D461" s="6"/>
      <c r="E461" s="6"/>
      <c r="F461" s="6"/>
    </row>
    <row r="462" spans="1:6" ht="15.75" customHeight="1">
      <c r="A462" s="6"/>
      <c r="B462" s="6"/>
      <c r="C462" s="6"/>
      <c r="D462" s="6"/>
      <c r="E462" s="6"/>
      <c r="F462" s="6"/>
    </row>
    <row r="463" spans="1:6" ht="15.75" customHeight="1">
      <c r="A463" s="6"/>
      <c r="B463" s="6"/>
      <c r="C463" s="6"/>
      <c r="D463" s="6"/>
      <c r="E463" s="6"/>
      <c r="F463" s="6"/>
    </row>
    <row r="464" spans="1:6" ht="15.75" customHeight="1">
      <c r="A464" s="6"/>
      <c r="B464" s="6"/>
      <c r="C464" s="6"/>
      <c r="D464" s="6"/>
      <c r="E464" s="6"/>
      <c r="F464" s="6"/>
    </row>
    <row r="465" spans="1:6" ht="15.75" customHeight="1">
      <c r="A465" s="6"/>
      <c r="B465" s="6"/>
      <c r="C465" s="6"/>
      <c r="D465" s="6"/>
      <c r="E465" s="6"/>
      <c r="F465" s="6"/>
    </row>
    <row r="466" spans="1:6" ht="15.75" customHeight="1">
      <c r="A466" s="6"/>
      <c r="B466" s="6"/>
      <c r="C466" s="6"/>
      <c r="D466" s="6"/>
      <c r="E466" s="6"/>
      <c r="F466" s="6"/>
    </row>
    <row r="467" spans="1:6" ht="15.75" customHeight="1">
      <c r="A467" s="6"/>
      <c r="B467" s="6"/>
      <c r="C467" s="6"/>
      <c r="D467" s="6"/>
      <c r="E467" s="6"/>
      <c r="F467" s="6"/>
    </row>
    <row r="468" spans="1:6" ht="15.75" customHeight="1">
      <c r="A468" s="6"/>
      <c r="B468" s="6"/>
      <c r="C468" s="6"/>
      <c r="D468" s="6"/>
      <c r="E468" s="6"/>
      <c r="F468" s="6"/>
    </row>
    <row r="469" spans="1:6" ht="15.75" customHeight="1">
      <c r="A469" s="6"/>
      <c r="B469" s="6"/>
      <c r="C469" s="6"/>
      <c r="D469" s="6"/>
      <c r="E469" s="6"/>
      <c r="F469" s="6"/>
    </row>
    <row r="470" spans="1:6" ht="15.75" customHeight="1">
      <c r="A470" s="6"/>
      <c r="B470" s="6"/>
      <c r="C470" s="6"/>
      <c r="D470" s="6"/>
      <c r="E470" s="6"/>
      <c r="F470" s="6"/>
    </row>
    <row r="471" spans="1:6" ht="15.75" customHeight="1">
      <c r="A471" s="6"/>
      <c r="B471" s="6"/>
      <c r="C471" s="6"/>
      <c r="D471" s="6"/>
      <c r="E471" s="6"/>
      <c r="F471" s="6"/>
    </row>
    <row r="472" spans="1:6" ht="15.75" customHeight="1">
      <c r="A472" s="6"/>
      <c r="B472" s="6"/>
      <c r="C472" s="6"/>
      <c r="D472" s="6"/>
      <c r="E472" s="6"/>
      <c r="F472" s="6"/>
    </row>
    <row r="473" spans="1:6" ht="15.75" customHeight="1">
      <c r="A473" s="6"/>
      <c r="B473" s="6"/>
      <c r="C473" s="6"/>
      <c r="D473" s="6"/>
      <c r="E473" s="6"/>
      <c r="F473" s="6"/>
    </row>
    <row r="474" spans="1:6" ht="15.75" customHeight="1">
      <c r="A474" s="6"/>
      <c r="B474" s="6"/>
      <c r="C474" s="6"/>
      <c r="D474" s="6"/>
      <c r="E474" s="6"/>
      <c r="F474" s="6"/>
    </row>
    <row r="475" spans="1:6" ht="15.75" customHeight="1">
      <c r="A475" s="6"/>
      <c r="B475" s="6"/>
      <c r="C475" s="6"/>
      <c r="D475" s="6"/>
      <c r="E475" s="6"/>
      <c r="F475" s="6"/>
    </row>
    <row r="476" spans="1:6" ht="15.75" customHeight="1">
      <c r="A476" s="6"/>
      <c r="B476" s="6"/>
      <c r="C476" s="6"/>
      <c r="D476" s="6"/>
      <c r="E476" s="6"/>
      <c r="F476" s="6"/>
    </row>
    <row r="477" spans="1:6" ht="15.75" customHeight="1">
      <c r="A477" s="6"/>
      <c r="B477" s="6"/>
      <c r="C477" s="6"/>
      <c r="D477" s="6"/>
      <c r="E477" s="6"/>
      <c r="F477" s="6"/>
    </row>
    <row r="478" spans="1:6" ht="15.75" customHeight="1">
      <c r="A478" s="6"/>
      <c r="B478" s="6"/>
      <c r="C478" s="6"/>
      <c r="D478" s="6"/>
      <c r="E478" s="6"/>
      <c r="F478" s="6"/>
    </row>
    <row r="479" spans="1:6" ht="15.75" customHeight="1">
      <c r="A479" s="6"/>
      <c r="B479" s="6"/>
      <c r="C479" s="6"/>
      <c r="D479" s="6"/>
      <c r="E479" s="6"/>
      <c r="F479" s="6"/>
    </row>
    <row r="480" spans="1:6" ht="15.75" customHeight="1">
      <c r="A480" s="6"/>
      <c r="B480" s="6"/>
      <c r="C480" s="6"/>
      <c r="D480" s="6"/>
      <c r="E480" s="6"/>
      <c r="F480" s="6"/>
    </row>
    <row r="481" spans="1:6" ht="15.75" customHeight="1">
      <c r="A481" s="6"/>
      <c r="B481" s="6"/>
      <c r="C481" s="6"/>
      <c r="D481" s="6"/>
      <c r="E481" s="6"/>
      <c r="F481" s="6"/>
    </row>
    <row r="482" spans="1:6" ht="15.75" customHeight="1">
      <c r="A482" s="6"/>
      <c r="B482" s="6"/>
      <c r="C482" s="6"/>
      <c r="D482" s="6"/>
      <c r="E482" s="6"/>
      <c r="F482" s="6"/>
    </row>
    <row r="483" spans="1:6" ht="15.75" customHeight="1">
      <c r="A483" s="6"/>
      <c r="B483" s="6"/>
      <c r="C483" s="6"/>
      <c r="D483" s="6"/>
      <c r="E483" s="6"/>
      <c r="F483" s="6"/>
    </row>
    <row r="484" spans="1:6" ht="15.75" customHeight="1">
      <c r="A484" s="6"/>
      <c r="B484" s="6"/>
      <c r="C484" s="6"/>
      <c r="D484" s="6"/>
      <c r="E484" s="6"/>
      <c r="F484" s="6"/>
    </row>
    <row r="485" spans="1:6" ht="15.75" customHeight="1">
      <c r="A485" s="6"/>
      <c r="B485" s="6"/>
      <c r="C485" s="6"/>
      <c r="D485" s="6"/>
      <c r="E485" s="6"/>
      <c r="F485" s="6"/>
    </row>
    <row r="486" spans="1:6" ht="15.75" customHeight="1">
      <c r="A486" s="6"/>
      <c r="B486" s="6"/>
      <c r="C486" s="6"/>
      <c r="D486" s="6"/>
      <c r="E486" s="6"/>
      <c r="F486" s="6"/>
    </row>
    <row r="487" spans="1:6" ht="15.75" customHeight="1">
      <c r="A487" s="6"/>
      <c r="B487" s="6"/>
      <c r="C487" s="6"/>
      <c r="D487" s="6"/>
      <c r="E487" s="6"/>
      <c r="F487" s="6"/>
    </row>
    <row r="488" spans="1:6" ht="15.75" customHeight="1">
      <c r="A488" s="6"/>
      <c r="B488" s="6"/>
      <c r="C488" s="6"/>
      <c r="D488" s="6"/>
      <c r="E488" s="6"/>
      <c r="F488" s="6"/>
    </row>
    <row r="489" spans="1:6" ht="15.75" customHeight="1">
      <c r="A489" s="6"/>
      <c r="B489" s="6"/>
      <c r="C489" s="6"/>
      <c r="D489" s="6"/>
      <c r="E489" s="6"/>
      <c r="F489" s="6"/>
    </row>
    <row r="490" spans="1:6" ht="15.75" customHeight="1">
      <c r="A490" s="6"/>
      <c r="B490" s="6"/>
      <c r="C490" s="6"/>
      <c r="D490" s="6"/>
      <c r="E490" s="6"/>
      <c r="F490" s="6"/>
    </row>
    <row r="491" spans="1:6" ht="15.75" customHeight="1">
      <c r="A491" s="6"/>
      <c r="B491" s="6"/>
      <c r="C491" s="6"/>
      <c r="D491" s="6"/>
      <c r="E491" s="6"/>
      <c r="F491" s="6"/>
    </row>
    <row r="492" spans="1:6" ht="15.75" customHeight="1">
      <c r="A492" s="6"/>
      <c r="B492" s="6"/>
      <c r="C492" s="6"/>
      <c r="D492" s="6"/>
      <c r="E492" s="6"/>
      <c r="F492" s="6"/>
    </row>
    <row r="493" spans="1:6" ht="15.75" customHeight="1">
      <c r="A493" s="6"/>
      <c r="B493" s="6"/>
      <c r="C493" s="6"/>
      <c r="D493" s="6"/>
      <c r="E493" s="6"/>
      <c r="F493" s="6"/>
    </row>
    <row r="494" spans="1:6" ht="15.75" customHeight="1">
      <c r="A494" s="6"/>
      <c r="B494" s="6"/>
      <c r="C494" s="6"/>
      <c r="D494" s="6"/>
      <c r="E494" s="6"/>
      <c r="F494" s="6"/>
    </row>
    <row r="495" spans="1:6" ht="15.75" customHeight="1">
      <c r="A495" s="6"/>
      <c r="B495" s="6"/>
      <c r="C495" s="6"/>
      <c r="D495" s="6"/>
      <c r="E495" s="6"/>
      <c r="F495" s="6"/>
    </row>
    <row r="496" spans="1:6" ht="15.75" customHeight="1">
      <c r="A496" s="6"/>
      <c r="B496" s="6"/>
      <c r="C496" s="6"/>
      <c r="D496" s="6"/>
      <c r="E496" s="6"/>
      <c r="F496" s="6"/>
    </row>
    <row r="497" spans="1:6" ht="15.75" customHeight="1">
      <c r="A497" s="6"/>
      <c r="B497" s="6"/>
      <c r="C497" s="6"/>
      <c r="D497" s="6"/>
      <c r="E497" s="6"/>
      <c r="F497" s="6"/>
    </row>
    <row r="498" spans="1:6" ht="15.75" customHeight="1">
      <c r="A498" s="6"/>
      <c r="B498" s="6"/>
      <c r="C498" s="6"/>
      <c r="D498" s="6"/>
      <c r="E498" s="6"/>
      <c r="F498" s="6"/>
    </row>
    <row r="499" spans="1:6" ht="15.75" customHeight="1">
      <c r="A499" s="6"/>
      <c r="B499" s="6"/>
      <c r="C499" s="6"/>
      <c r="D499" s="6"/>
      <c r="E499" s="6"/>
      <c r="F499" s="6"/>
    </row>
    <row r="500" spans="1:6" ht="15.75" customHeight="1">
      <c r="A500" s="6"/>
      <c r="B500" s="6"/>
      <c r="C500" s="6"/>
      <c r="D500" s="6"/>
      <c r="E500" s="6"/>
      <c r="F500" s="6"/>
    </row>
    <row r="501" spans="1:6" ht="15.75" customHeight="1">
      <c r="A501" s="6"/>
      <c r="B501" s="6"/>
      <c r="C501" s="6"/>
      <c r="D501" s="6"/>
      <c r="E501" s="6"/>
      <c r="F501" s="6"/>
    </row>
    <row r="502" spans="1:6" ht="15.75" customHeight="1">
      <c r="A502" s="6"/>
      <c r="B502" s="6"/>
      <c r="C502" s="6"/>
      <c r="D502" s="6"/>
      <c r="E502" s="6"/>
      <c r="F502" s="6"/>
    </row>
    <row r="503" spans="1:6" ht="15.75" customHeight="1">
      <c r="A503" s="6"/>
      <c r="B503" s="6"/>
      <c r="C503" s="6"/>
      <c r="D503" s="6"/>
      <c r="E503" s="6"/>
      <c r="F503" s="6"/>
    </row>
    <row r="504" spans="1:6" ht="15.75" customHeight="1">
      <c r="A504" s="6"/>
      <c r="B504" s="6"/>
      <c r="C504" s="6"/>
      <c r="D504" s="6"/>
      <c r="E504" s="6"/>
      <c r="F504" s="6"/>
    </row>
    <row r="505" spans="1:6" ht="15.75" customHeight="1">
      <c r="A505" s="6"/>
      <c r="B505" s="6"/>
      <c r="C505" s="6"/>
      <c r="D505" s="6"/>
      <c r="E505" s="6"/>
      <c r="F505" s="6"/>
    </row>
    <row r="506" spans="1:6" ht="15.75" customHeight="1">
      <c r="A506" s="6"/>
      <c r="B506" s="6"/>
      <c r="C506" s="6"/>
      <c r="D506" s="6"/>
      <c r="E506" s="6"/>
      <c r="F506" s="6"/>
    </row>
    <row r="507" spans="1:6" ht="15.75" customHeight="1">
      <c r="A507" s="6"/>
      <c r="B507" s="6"/>
      <c r="C507" s="6"/>
      <c r="D507" s="6"/>
      <c r="E507" s="6"/>
      <c r="F507" s="6"/>
    </row>
    <row r="508" spans="1:6" ht="15.75" customHeight="1">
      <c r="A508" s="6"/>
      <c r="B508" s="6"/>
      <c r="C508" s="6"/>
      <c r="D508" s="6"/>
      <c r="E508" s="6"/>
      <c r="F508" s="6"/>
    </row>
    <row r="509" spans="1:6" ht="15.75" customHeight="1">
      <c r="A509" s="6"/>
      <c r="B509" s="6"/>
      <c r="C509" s="6"/>
      <c r="D509" s="6"/>
      <c r="E509" s="6"/>
      <c r="F509" s="6"/>
    </row>
    <row r="510" spans="1:6" ht="15.75" customHeight="1">
      <c r="A510" s="6"/>
      <c r="B510" s="6"/>
      <c r="C510" s="6"/>
      <c r="D510" s="6"/>
      <c r="E510" s="6"/>
      <c r="F510" s="6"/>
    </row>
    <row r="511" spans="1:6" ht="15.75" customHeight="1">
      <c r="A511" s="6"/>
      <c r="B511" s="6"/>
      <c r="C511" s="6"/>
      <c r="D511" s="6"/>
      <c r="E511" s="6"/>
      <c r="F511" s="6"/>
    </row>
    <row r="512" spans="1:6" ht="15.75" customHeight="1">
      <c r="A512" s="6"/>
      <c r="B512" s="6"/>
      <c r="C512" s="6"/>
      <c r="D512" s="6"/>
      <c r="E512" s="6"/>
      <c r="F512" s="6"/>
    </row>
    <row r="513" spans="1:6" ht="15.75" customHeight="1">
      <c r="A513" s="6"/>
      <c r="B513" s="6"/>
      <c r="C513" s="6"/>
      <c r="D513" s="6"/>
      <c r="E513" s="6"/>
      <c r="F513" s="6"/>
    </row>
    <row r="514" spans="1:6" ht="15.75" customHeight="1">
      <c r="A514" s="6"/>
      <c r="B514" s="6"/>
      <c r="C514" s="6"/>
      <c r="D514" s="6"/>
      <c r="E514" s="6"/>
      <c r="F514" s="6"/>
    </row>
    <row r="515" spans="1:6" ht="15.75" customHeight="1">
      <c r="A515" s="6"/>
      <c r="B515" s="6"/>
      <c r="C515" s="6"/>
      <c r="D515" s="6"/>
      <c r="E515" s="6"/>
      <c r="F515" s="6"/>
    </row>
    <row r="516" spans="1:6" ht="15.75" customHeight="1">
      <c r="A516" s="6"/>
      <c r="B516" s="6"/>
      <c r="C516" s="6"/>
      <c r="D516" s="6"/>
      <c r="E516" s="6"/>
      <c r="F516" s="6"/>
    </row>
    <row r="517" spans="1:6" ht="15.75" customHeight="1">
      <c r="A517" s="6"/>
      <c r="B517" s="6"/>
      <c r="C517" s="6"/>
      <c r="D517" s="6"/>
      <c r="E517" s="6"/>
      <c r="F517" s="6"/>
    </row>
    <row r="518" spans="1:6" ht="15.75" customHeight="1">
      <c r="A518" s="6"/>
      <c r="B518" s="6"/>
      <c r="C518" s="6"/>
      <c r="D518" s="6"/>
      <c r="E518" s="6"/>
      <c r="F518" s="6"/>
    </row>
    <row r="519" spans="1:6" ht="15.75" customHeight="1">
      <c r="A519" s="6"/>
      <c r="B519" s="6"/>
      <c r="C519" s="6"/>
      <c r="D519" s="6"/>
      <c r="E519" s="6"/>
      <c r="F519" s="6"/>
    </row>
    <row r="520" spans="1:6" ht="15.75" customHeight="1">
      <c r="A520" s="6"/>
      <c r="B520" s="6"/>
      <c r="C520" s="6"/>
      <c r="D520" s="6"/>
      <c r="E520" s="6"/>
      <c r="F520" s="6"/>
    </row>
    <row r="521" spans="1:6" ht="15.75" customHeight="1">
      <c r="A521" s="6"/>
      <c r="B521" s="6"/>
      <c r="C521" s="6"/>
      <c r="D521" s="6"/>
      <c r="E521" s="6"/>
      <c r="F521" s="6"/>
    </row>
    <row r="522" spans="1:6" ht="15.75" customHeight="1">
      <c r="A522" s="6"/>
      <c r="B522" s="6"/>
      <c r="C522" s="6"/>
      <c r="D522" s="6"/>
      <c r="E522" s="6"/>
      <c r="F522" s="6"/>
    </row>
    <row r="523" spans="1:6" ht="15.75" customHeight="1">
      <c r="A523" s="6"/>
      <c r="B523" s="6"/>
      <c r="C523" s="6"/>
      <c r="D523" s="6"/>
      <c r="E523" s="6"/>
      <c r="F523" s="6"/>
    </row>
    <row r="524" spans="1:6" ht="15.75" customHeight="1">
      <c r="A524" s="6"/>
      <c r="B524" s="6"/>
      <c r="C524" s="6"/>
      <c r="D524" s="6"/>
      <c r="E524" s="6"/>
      <c r="F524" s="6"/>
    </row>
    <row r="525" spans="1:6" ht="15.75" customHeight="1">
      <c r="A525" s="6"/>
      <c r="B525" s="6"/>
      <c r="C525" s="6"/>
      <c r="D525" s="6"/>
      <c r="E525" s="6"/>
      <c r="F525" s="6"/>
    </row>
    <row r="526" spans="1:6" ht="15.75" customHeight="1">
      <c r="A526" s="6"/>
      <c r="B526" s="6"/>
      <c r="C526" s="6"/>
      <c r="D526" s="6"/>
      <c r="E526" s="6"/>
      <c r="F526" s="6"/>
    </row>
    <row r="527" spans="1:6" ht="15.75" customHeight="1">
      <c r="A527" s="6"/>
      <c r="B527" s="6"/>
      <c r="C527" s="6"/>
      <c r="D527" s="6"/>
      <c r="E527" s="6"/>
      <c r="F527" s="6"/>
    </row>
    <row r="528" spans="1:6" ht="15.75" customHeight="1">
      <c r="A528" s="6"/>
      <c r="B528" s="6"/>
      <c r="C528" s="6"/>
      <c r="D528" s="6"/>
      <c r="E528" s="6"/>
      <c r="F528" s="6"/>
    </row>
    <row r="529" spans="1:6" ht="15.75" customHeight="1">
      <c r="A529" s="6"/>
      <c r="B529" s="6"/>
      <c r="C529" s="6"/>
      <c r="D529" s="6"/>
      <c r="E529" s="6"/>
      <c r="F529" s="6"/>
    </row>
    <row r="530" spans="1:6" ht="15.75" customHeight="1">
      <c r="A530" s="6"/>
      <c r="B530" s="6"/>
      <c r="C530" s="6"/>
      <c r="D530" s="6"/>
      <c r="E530" s="6"/>
      <c r="F530" s="6"/>
    </row>
    <row r="531" spans="1:6" ht="15.75" customHeight="1">
      <c r="A531" s="6"/>
      <c r="B531" s="6"/>
      <c r="C531" s="6"/>
      <c r="D531" s="6"/>
      <c r="E531" s="6"/>
      <c r="F531" s="6"/>
    </row>
    <row r="532" spans="1:6" ht="15.75" customHeight="1">
      <c r="A532" s="6"/>
      <c r="B532" s="6"/>
      <c r="C532" s="6"/>
      <c r="D532" s="6"/>
      <c r="E532" s="6"/>
      <c r="F532" s="6"/>
    </row>
    <row r="533" spans="1:6" ht="15.75" customHeight="1">
      <c r="A533" s="6"/>
      <c r="B533" s="6"/>
      <c r="C533" s="6"/>
      <c r="D533" s="6"/>
      <c r="E533" s="6"/>
      <c r="F533" s="6"/>
    </row>
    <row r="534" spans="1:6" ht="15.75" customHeight="1">
      <c r="A534" s="6"/>
      <c r="B534" s="6"/>
      <c r="C534" s="6"/>
      <c r="D534" s="6"/>
      <c r="E534" s="6"/>
      <c r="F534" s="6"/>
    </row>
    <row r="535" spans="1:6" ht="15.75" customHeight="1">
      <c r="A535" s="6"/>
      <c r="B535" s="6"/>
      <c r="C535" s="6"/>
      <c r="D535" s="6"/>
      <c r="E535" s="6"/>
      <c r="F535" s="6"/>
    </row>
    <row r="536" spans="1:6" ht="15.75" customHeight="1">
      <c r="A536" s="6"/>
      <c r="B536" s="6"/>
      <c r="C536" s="6"/>
      <c r="D536" s="6"/>
      <c r="E536" s="6"/>
      <c r="F536" s="6"/>
    </row>
    <row r="537" spans="1:6" ht="15.75" customHeight="1">
      <c r="A537" s="6"/>
      <c r="B537" s="6"/>
      <c r="C537" s="6"/>
      <c r="D537" s="6"/>
      <c r="E537" s="6"/>
      <c r="F537" s="6"/>
    </row>
    <row r="538" spans="1:6" ht="15.75" customHeight="1">
      <c r="A538" s="6"/>
      <c r="B538" s="6"/>
      <c r="C538" s="6"/>
      <c r="D538" s="6"/>
      <c r="E538" s="6"/>
      <c r="F538" s="6"/>
    </row>
    <row r="539" spans="1:6" ht="15.75" customHeight="1">
      <c r="A539" s="6"/>
      <c r="B539" s="6"/>
      <c r="C539" s="6"/>
      <c r="D539" s="6"/>
      <c r="E539" s="6"/>
      <c r="F539" s="6"/>
    </row>
    <row r="540" spans="1:6" ht="15.75" customHeight="1">
      <c r="A540" s="6"/>
      <c r="B540" s="6"/>
      <c r="C540" s="6"/>
      <c r="D540" s="6"/>
      <c r="E540" s="6"/>
      <c r="F540" s="6"/>
    </row>
    <row r="541" spans="1:6" ht="15.75" customHeight="1">
      <c r="A541" s="6"/>
      <c r="B541" s="6"/>
      <c r="C541" s="6"/>
      <c r="D541" s="6"/>
      <c r="E541" s="6"/>
      <c r="F541" s="6"/>
    </row>
    <row r="542" spans="1:6" ht="15.75" customHeight="1">
      <c r="A542" s="6"/>
      <c r="B542" s="6"/>
      <c r="C542" s="6"/>
      <c r="D542" s="6"/>
      <c r="E542" s="6"/>
      <c r="F542" s="6"/>
    </row>
    <row r="543" spans="1:6" ht="15.75" customHeight="1">
      <c r="A543" s="6"/>
      <c r="B543" s="6"/>
      <c r="C543" s="6"/>
      <c r="D543" s="6"/>
      <c r="E543" s="6"/>
      <c r="F543" s="6"/>
    </row>
    <row r="544" spans="1:6" ht="15.75" customHeight="1">
      <c r="A544" s="6"/>
      <c r="B544" s="6"/>
      <c r="C544" s="6"/>
      <c r="D544" s="6"/>
      <c r="E544" s="6"/>
      <c r="F544" s="6"/>
    </row>
    <row r="545" spans="1:6" ht="15.75" customHeight="1">
      <c r="A545" s="6"/>
      <c r="B545" s="6"/>
      <c r="C545" s="6"/>
      <c r="D545" s="6"/>
      <c r="E545" s="6"/>
      <c r="F545" s="6"/>
    </row>
    <row r="546" spans="1:6" ht="15.75" customHeight="1">
      <c r="A546" s="6"/>
      <c r="B546" s="6"/>
      <c r="C546" s="6"/>
      <c r="D546" s="6"/>
      <c r="E546" s="6"/>
      <c r="F546" s="6"/>
    </row>
    <row r="547" spans="1:6" ht="15.75" customHeight="1">
      <c r="A547" s="6"/>
      <c r="B547" s="6"/>
      <c r="C547" s="6"/>
      <c r="D547" s="6"/>
      <c r="E547" s="6"/>
      <c r="F547" s="6"/>
    </row>
    <row r="548" spans="1:6" ht="15.75" customHeight="1">
      <c r="A548" s="6"/>
      <c r="B548" s="6"/>
      <c r="C548" s="6"/>
      <c r="D548" s="6"/>
      <c r="E548" s="6"/>
      <c r="F548" s="6"/>
    </row>
    <row r="549" spans="1:6" ht="15.75" customHeight="1">
      <c r="A549" s="6"/>
      <c r="B549" s="6"/>
      <c r="C549" s="6"/>
      <c r="D549" s="6"/>
      <c r="E549" s="6"/>
      <c r="F549" s="6"/>
    </row>
    <row r="550" spans="1:6" ht="15.75" customHeight="1">
      <c r="A550" s="6"/>
      <c r="B550" s="6"/>
      <c r="C550" s="6"/>
      <c r="D550" s="6"/>
      <c r="E550" s="6"/>
      <c r="F550" s="6"/>
    </row>
    <row r="551" spans="1:6" ht="15.75" customHeight="1">
      <c r="A551" s="6"/>
      <c r="B551" s="6"/>
      <c r="C551" s="6"/>
      <c r="D551" s="6"/>
      <c r="E551" s="6"/>
      <c r="F551" s="6"/>
    </row>
    <row r="552" spans="1:6" ht="15.75" customHeight="1">
      <c r="A552" s="6"/>
      <c r="B552" s="6"/>
      <c r="C552" s="6"/>
      <c r="D552" s="6"/>
      <c r="E552" s="6"/>
      <c r="F552" s="6"/>
    </row>
    <row r="553" spans="1:6" ht="15.75" customHeight="1">
      <c r="A553" s="6"/>
      <c r="B553" s="6"/>
      <c r="C553" s="6"/>
      <c r="D553" s="6"/>
      <c r="E553" s="6"/>
      <c r="F553" s="6"/>
    </row>
    <row r="554" spans="1:6" ht="15.75" customHeight="1">
      <c r="A554" s="6"/>
      <c r="B554" s="6"/>
      <c r="C554" s="6"/>
      <c r="D554" s="6"/>
      <c r="E554" s="6"/>
      <c r="F554" s="6"/>
    </row>
    <row r="555" spans="1:6" ht="15.75" customHeight="1">
      <c r="A555" s="6"/>
      <c r="B555" s="6"/>
      <c r="C555" s="6"/>
      <c r="D555" s="6"/>
      <c r="E555" s="6"/>
      <c r="F555" s="6"/>
    </row>
    <row r="556" spans="1:6" ht="15.75" customHeight="1">
      <c r="A556" s="6"/>
      <c r="B556" s="6"/>
      <c r="C556" s="6"/>
      <c r="D556" s="6"/>
      <c r="E556" s="6"/>
      <c r="F556" s="6"/>
    </row>
    <row r="557" spans="1:6" ht="15.75" customHeight="1">
      <c r="A557" s="6"/>
      <c r="B557" s="6"/>
      <c r="C557" s="6"/>
      <c r="D557" s="6"/>
      <c r="E557" s="6"/>
      <c r="F557" s="6"/>
    </row>
    <row r="558" spans="1:6" ht="15.75" customHeight="1">
      <c r="A558" s="6"/>
      <c r="B558" s="6"/>
      <c r="C558" s="6"/>
      <c r="D558" s="6"/>
      <c r="E558" s="6"/>
      <c r="F558" s="6"/>
    </row>
    <row r="559" spans="1:6" ht="15.75" customHeight="1">
      <c r="A559" s="6"/>
      <c r="B559" s="6"/>
      <c r="C559" s="6"/>
      <c r="D559" s="6"/>
      <c r="E559" s="6"/>
      <c r="F559" s="6"/>
    </row>
    <row r="560" spans="1:6" ht="15.75" customHeight="1">
      <c r="A560" s="6"/>
      <c r="B560" s="6"/>
      <c r="C560" s="6"/>
      <c r="D560" s="6"/>
      <c r="E560" s="6"/>
      <c r="F560" s="6"/>
    </row>
    <row r="561" spans="1:6" ht="15.75" customHeight="1">
      <c r="A561" s="6"/>
      <c r="B561" s="6"/>
      <c r="C561" s="6"/>
      <c r="D561" s="6"/>
      <c r="E561" s="6"/>
      <c r="F561" s="6"/>
    </row>
    <row r="562" spans="1:6" ht="15.75" customHeight="1">
      <c r="A562" s="6"/>
      <c r="B562" s="6"/>
      <c r="C562" s="6"/>
      <c r="D562" s="6"/>
      <c r="E562" s="6"/>
      <c r="F562" s="6"/>
    </row>
    <row r="563" spans="1:6" ht="15.75" customHeight="1">
      <c r="A563" s="6"/>
      <c r="B563" s="6"/>
      <c r="C563" s="6"/>
      <c r="D563" s="6"/>
      <c r="E563" s="6"/>
      <c r="F563" s="6"/>
    </row>
    <row r="564" spans="1:6" ht="15.75" customHeight="1">
      <c r="A564" s="6"/>
      <c r="B564" s="6"/>
      <c r="C564" s="6"/>
      <c r="D564" s="6"/>
      <c r="E564" s="6"/>
      <c r="F564" s="6"/>
    </row>
    <row r="565" spans="1:6" ht="15.75" customHeight="1">
      <c r="A565" s="6"/>
      <c r="B565" s="6"/>
      <c r="C565" s="6"/>
      <c r="D565" s="6"/>
      <c r="E565" s="6"/>
      <c r="F565" s="6"/>
    </row>
    <row r="566" spans="1:6" ht="15.75" customHeight="1">
      <c r="A566" s="6"/>
      <c r="B566" s="6"/>
      <c r="C566" s="6"/>
      <c r="D566" s="6"/>
      <c r="E566" s="6"/>
      <c r="F566" s="6"/>
    </row>
    <row r="567" spans="1:6" ht="15.75" customHeight="1">
      <c r="A567" s="6"/>
      <c r="B567" s="6"/>
      <c r="C567" s="6"/>
      <c r="D567" s="6"/>
      <c r="E567" s="6"/>
      <c r="F567" s="6"/>
    </row>
    <row r="568" spans="1:6" ht="15.75" customHeight="1">
      <c r="A568" s="6"/>
      <c r="B568" s="6"/>
      <c r="C568" s="6"/>
      <c r="D568" s="6"/>
      <c r="E568" s="6"/>
      <c r="F568" s="6"/>
    </row>
    <row r="569" spans="1:6" ht="15.75" customHeight="1">
      <c r="A569" s="6"/>
      <c r="B569" s="6"/>
      <c r="C569" s="6"/>
      <c r="D569" s="6"/>
      <c r="E569" s="6"/>
      <c r="F569" s="6"/>
    </row>
    <row r="570" spans="1:6" ht="15.75" customHeight="1">
      <c r="A570" s="6"/>
      <c r="B570" s="6"/>
      <c r="C570" s="6"/>
      <c r="D570" s="6"/>
      <c r="E570" s="6"/>
      <c r="F570" s="6"/>
    </row>
    <row r="571" spans="1:6" ht="15.75" customHeight="1">
      <c r="A571" s="6"/>
      <c r="B571" s="6"/>
      <c r="C571" s="6"/>
      <c r="D571" s="6"/>
      <c r="E571" s="6"/>
      <c r="F571" s="6"/>
    </row>
    <row r="572" spans="1:6" ht="15.75" customHeight="1">
      <c r="A572" s="6"/>
      <c r="B572" s="6"/>
      <c r="C572" s="6"/>
      <c r="D572" s="6"/>
      <c r="E572" s="6"/>
      <c r="F572" s="6"/>
    </row>
    <row r="573" spans="1:6" ht="15.75" customHeight="1">
      <c r="A573" s="6"/>
      <c r="B573" s="6"/>
      <c r="C573" s="6"/>
      <c r="D573" s="6"/>
      <c r="E573" s="6"/>
      <c r="F573" s="6"/>
    </row>
    <row r="574" spans="1:6" ht="15.75" customHeight="1">
      <c r="A574" s="6"/>
      <c r="B574" s="6"/>
      <c r="C574" s="6"/>
      <c r="D574" s="6"/>
      <c r="E574" s="6"/>
      <c r="F574" s="6"/>
    </row>
    <row r="575" spans="1:6" ht="15.75" customHeight="1">
      <c r="A575" s="6"/>
      <c r="B575" s="6"/>
      <c r="C575" s="6"/>
      <c r="D575" s="6"/>
      <c r="E575" s="6"/>
      <c r="F575" s="6"/>
    </row>
    <row r="576" spans="1:6" ht="15.75" customHeight="1">
      <c r="A576" s="6"/>
      <c r="B576" s="6"/>
      <c r="C576" s="6"/>
      <c r="D576" s="6"/>
      <c r="E576" s="6"/>
      <c r="F576" s="6"/>
    </row>
    <row r="577" spans="1:6" ht="15.75" customHeight="1">
      <c r="A577" s="6"/>
      <c r="B577" s="6"/>
      <c r="C577" s="6"/>
      <c r="D577" s="6"/>
      <c r="E577" s="6"/>
      <c r="F577" s="6"/>
    </row>
    <row r="578" spans="1:6" ht="15.75" customHeight="1">
      <c r="A578" s="6"/>
      <c r="B578" s="6"/>
      <c r="C578" s="6"/>
      <c r="D578" s="6"/>
      <c r="E578" s="6"/>
      <c r="F578" s="6"/>
    </row>
    <row r="579" spans="1:6" ht="15.75" customHeight="1">
      <c r="A579" s="6"/>
      <c r="B579" s="6"/>
      <c r="C579" s="6"/>
      <c r="D579" s="6"/>
      <c r="E579" s="6"/>
      <c r="F579" s="6"/>
    </row>
    <row r="580" spans="1:6" ht="15.75" customHeight="1">
      <c r="A580" s="6"/>
      <c r="B580" s="6"/>
      <c r="C580" s="6"/>
      <c r="D580" s="6"/>
      <c r="E580" s="6"/>
      <c r="F580" s="6"/>
    </row>
    <row r="581" spans="1:6" ht="15.75" customHeight="1">
      <c r="A581" s="6"/>
      <c r="B581" s="6"/>
      <c r="C581" s="6"/>
      <c r="D581" s="6"/>
      <c r="E581" s="6"/>
      <c r="F581" s="6"/>
    </row>
    <row r="582" spans="1:6" ht="15.75" customHeight="1">
      <c r="A582" s="6"/>
      <c r="B582" s="6"/>
      <c r="C582" s="6"/>
      <c r="D582" s="6"/>
      <c r="E582" s="6"/>
      <c r="F582" s="6"/>
    </row>
    <row r="583" spans="1:6" ht="15.75" customHeight="1">
      <c r="A583" s="6"/>
      <c r="B583" s="6"/>
      <c r="C583" s="6"/>
      <c r="D583" s="6"/>
      <c r="E583" s="6"/>
      <c r="F583" s="6"/>
    </row>
    <row r="584" spans="1:6" ht="15.75" customHeight="1">
      <c r="A584" s="6"/>
      <c r="B584" s="6"/>
      <c r="C584" s="6"/>
      <c r="D584" s="6"/>
      <c r="E584" s="6"/>
      <c r="F584" s="6"/>
    </row>
    <row r="585" spans="1:6" ht="15.75" customHeight="1">
      <c r="A585" s="6"/>
      <c r="B585" s="6"/>
      <c r="C585" s="6"/>
      <c r="D585" s="6"/>
      <c r="E585" s="6"/>
      <c r="F585" s="6"/>
    </row>
    <row r="586" spans="1:6" ht="15.75" customHeight="1">
      <c r="A586" s="6"/>
      <c r="B586" s="6"/>
      <c r="C586" s="6"/>
      <c r="D586" s="6"/>
      <c r="E586" s="6"/>
      <c r="F586" s="6"/>
    </row>
    <row r="587" spans="1:6" ht="15.75" customHeight="1">
      <c r="A587" s="6"/>
      <c r="B587" s="6"/>
      <c r="C587" s="6"/>
      <c r="D587" s="6"/>
      <c r="E587" s="6"/>
      <c r="F587" s="6"/>
    </row>
    <row r="588" spans="1:6" ht="15.75" customHeight="1">
      <c r="A588" s="6"/>
      <c r="B588" s="6"/>
      <c r="C588" s="6"/>
      <c r="D588" s="6"/>
      <c r="E588" s="6"/>
      <c r="F588" s="6"/>
    </row>
    <row r="589" spans="1:6" ht="15.75" customHeight="1">
      <c r="A589" s="6"/>
      <c r="B589" s="6"/>
      <c r="C589" s="6"/>
      <c r="D589" s="6"/>
      <c r="E589" s="6"/>
      <c r="F589" s="6"/>
    </row>
    <row r="590" spans="1:6" ht="15.75" customHeight="1">
      <c r="A590" s="6"/>
      <c r="B590" s="6"/>
      <c r="C590" s="6"/>
      <c r="D590" s="6"/>
      <c r="E590" s="6"/>
      <c r="F590" s="6"/>
    </row>
    <row r="591" spans="1:6" ht="15.75" customHeight="1">
      <c r="A591" s="6"/>
      <c r="B591" s="6"/>
      <c r="C591" s="6"/>
      <c r="D591" s="6"/>
      <c r="E591" s="6"/>
      <c r="F591" s="6"/>
    </row>
    <row r="592" spans="1:6" ht="15.75" customHeight="1">
      <c r="A592" s="6"/>
      <c r="B592" s="6"/>
      <c r="C592" s="6"/>
      <c r="D592" s="6"/>
      <c r="E592" s="6"/>
      <c r="F592" s="6"/>
    </row>
    <row r="593" spans="1:6" ht="15.75" customHeight="1">
      <c r="A593" s="6"/>
      <c r="B593" s="6"/>
      <c r="C593" s="6"/>
      <c r="D593" s="6"/>
      <c r="E593" s="6"/>
      <c r="F593" s="6"/>
    </row>
    <row r="594" spans="1:6" ht="15.75" customHeight="1">
      <c r="A594" s="6"/>
      <c r="B594" s="6"/>
      <c r="C594" s="6"/>
      <c r="D594" s="6"/>
      <c r="E594" s="6"/>
      <c r="F594" s="6"/>
    </row>
    <row r="595" spans="1:6" ht="15.75" customHeight="1">
      <c r="A595" s="6"/>
      <c r="B595" s="6"/>
      <c r="C595" s="6"/>
      <c r="D595" s="6"/>
      <c r="E595" s="6"/>
      <c r="F595" s="6"/>
    </row>
    <row r="596" spans="1:6" ht="15.75" customHeight="1">
      <c r="A596" s="6"/>
      <c r="B596" s="6"/>
      <c r="C596" s="6"/>
      <c r="D596" s="6"/>
      <c r="E596" s="6"/>
      <c r="F596" s="6"/>
    </row>
    <row r="597" spans="1:6" ht="15.75" customHeight="1">
      <c r="A597" s="6"/>
      <c r="B597" s="6"/>
      <c r="C597" s="6"/>
      <c r="D597" s="6"/>
      <c r="E597" s="6"/>
      <c r="F597" s="6"/>
    </row>
    <row r="598" spans="1:6" ht="15.75" customHeight="1">
      <c r="A598" s="6"/>
      <c r="B598" s="6"/>
      <c r="C598" s="6"/>
      <c r="D598" s="6"/>
      <c r="E598" s="6"/>
      <c r="F598" s="6"/>
    </row>
    <row r="599" spans="1:6" ht="15.75" customHeight="1">
      <c r="A599" s="6"/>
      <c r="B599" s="6"/>
      <c r="C599" s="6"/>
      <c r="D599" s="6"/>
      <c r="E599" s="6"/>
      <c r="F599" s="6"/>
    </row>
    <row r="600" spans="1:6" ht="15.75" customHeight="1">
      <c r="A600" s="6"/>
      <c r="B600" s="6"/>
      <c r="C600" s="6"/>
      <c r="D600" s="6"/>
      <c r="E600" s="6"/>
      <c r="F600" s="6"/>
    </row>
    <row r="601" spans="1:6" ht="15.75" customHeight="1">
      <c r="A601" s="6"/>
      <c r="B601" s="6"/>
      <c r="C601" s="6"/>
      <c r="D601" s="6"/>
      <c r="E601" s="6"/>
      <c r="F601" s="6"/>
    </row>
    <row r="602" spans="1:6" ht="15.75" customHeight="1">
      <c r="A602" s="6"/>
      <c r="B602" s="6"/>
      <c r="C602" s="6"/>
      <c r="D602" s="6"/>
      <c r="E602" s="6"/>
      <c r="F602" s="6"/>
    </row>
    <row r="603" spans="1:6" ht="15.75" customHeight="1">
      <c r="A603" s="6"/>
      <c r="B603" s="6"/>
      <c r="C603" s="6"/>
      <c r="D603" s="6"/>
      <c r="E603" s="6"/>
      <c r="F603" s="6"/>
    </row>
    <row r="604" spans="1:6" ht="15.75" customHeight="1">
      <c r="A604" s="6"/>
      <c r="B604" s="6"/>
      <c r="C604" s="6"/>
      <c r="D604" s="6"/>
      <c r="E604" s="6"/>
      <c r="F604" s="6"/>
    </row>
    <row r="605" spans="1:6" ht="15.75" customHeight="1">
      <c r="A605" s="6"/>
      <c r="B605" s="6"/>
      <c r="C605" s="6"/>
      <c r="D605" s="6"/>
      <c r="E605" s="6"/>
      <c r="F605" s="6"/>
    </row>
    <row r="606" spans="1:6" ht="15.75" customHeight="1">
      <c r="A606" s="6"/>
      <c r="B606" s="6"/>
      <c r="C606" s="6"/>
      <c r="D606" s="6"/>
      <c r="E606" s="6"/>
      <c r="F606" s="6"/>
    </row>
    <row r="607" spans="1:6" ht="15.75" customHeight="1">
      <c r="A607" s="6"/>
      <c r="B607" s="6"/>
      <c r="C607" s="6"/>
      <c r="D607" s="6"/>
      <c r="E607" s="6"/>
      <c r="F607" s="6"/>
    </row>
    <row r="608" spans="1:6" ht="15.75" customHeight="1">
      <c r="A608" s="6"/>
      <c r="B608" s="6"/>
      <c r="C608" s="6"/>
      <c r="D608" s="6"/>
      <c r="E608" s="6"/>
      <c r="F608" s="6"/>
    </row>
    <row r="609" spans="1:6" ht="15.75" customHeight="1">
      <c r="A609" s="6"/>
      <c r="B609" s="6"/>
      <c r="C609" s="6"/>
      <c r="D609" s="6"/>
      <c r="E609" s="6"/>
      <c r="F609" s="6"/>
    </row>
    <row r="610" spans="1:6" ht="15.75" customHeight="1">
      <c r="A610" s="6"/>
      <c r="B610" s="6"/>
      <c r="C610" s="6"/>
      <c r="D610" s="6"/>
      <c r="E610" s="6"/>
      <c r="F610" s="6"/>
    </row>
    <row r="611" spans="1:6" ht="15.75" customHeight="1">
      <c r="A611" s="6"/>
      <c r="B611" s="6"/>
      <c r="C611" s="6"/>
      <c r="D611" s="6"/>
      <c r="E611" s="6"/>
      <c r="F611" s="6"/>
    </row>
    <row r="612" spans="1:6" ht="15.75" customHeight="1">
      <c r="A612" s="6"/>
      <c r="B612" s="6"/>
      <c r="C612" s="6"/>
      <c r="D612" s="6"/>
      <c r="E612" s="6"/>
      <c r="F612" s="6"/>
    </row>
    <row r="613" spans="1:6" ht="15.75" customHeight="1">
      <c r="A613" s="6"/>
      <c r="B613" s="6"/>
      <c r="C613" s="6"/>
      <c r="D613" s="6"/>
      <c r="E613" s="6"/>
      <c r="F613" s="6"/>
    </row>
    <row r="614" spans="1:6" ht="15.75" customHeight="1">
      <c r="A614" s="6"/>
      <c r="B614" s="6"/>
      <c r="C614" s="6"/>
      <c r="D614" s="6"/>
      <c r="E614" s="6"/>
      <c r="F614" s="6"/>
    </row>
    <row r="615" spans="1:6" ht="15.75" customHeight="1">
      <c r="A615" s="6"/>
      <c r="B615" s="6"/>
      <c r="C615" s="6"/>
      <c r="D615" s="6"/>
      <c r="E615" s="6"/>
      <c r="F615" s="6"/>
    </row>
    <row r="616" spans="1:6" ht="15.75" customHeight="1">
      <c r="A616" s="6"/>
      <c r="B616" s="6"/>
      <c r="C616" s="6"/>
      <c r="D616" s="6"/>
      <c r="E616" s="6"/>
      <c r="F616" s="6"/>
    </row>
    <row r="617" spans="1:6" ht="15.75" customHeight="1">
      <c r="A617" s="6"/>
      <c r="B617" s="6"/>
      <c r="C617" s="6"/>
      <c r="D617" s="6"/>
      <c r="E617" s="6"/>
      <c r="F617" s="6"/>
    </row>
    <row r="618" spans="1:6" ht="15.75" customHeight="1">
      <c r="A618" s="6"/>
      <c r="B618" s="6"/>
      <c r="C618" s="6"/>
      <c r="D618" s="6"/>
      <c r="E618" s="6"/>
      <c r="F618" s="6"/>
    </row>
    <row r="619" spans="1:6" ht="15.75" customHeight="1">
      <c r="A619" s="6"/>
      <c r="B619" s="6"/>
      <c r="C619" s="6"/>
      <c r="D619" s="6"/>
      <c r="E619" s="6"/>
      <c r="F619" s="6"/>
    </row>
    <row r="620" spans="1:6" ht="15.75" customHeight="1">
      <c r="A620" s="6"/>
      <c r="B620" s="6"/>
      <c r="C620" s="6"/>
      <c r="D620" s="6"/>
      <c r="E620" s="6"/>
      <c r="F620" s="6"/>
    </row>
    <row r="621" spans="1:6" ht="15.75" customHeight="1">
      <c r="A621" s="6"/>
      <c r="B621" s="6"/>
      <c r="C621" s="6"/>
      <c r="D621" s="6"/>
      <c r="E621" s="6"/>
      <c r="F621" s="6"/>
    </row>
    <row r="622" spans="1:6" ht="15.75" customHeight="1">
      <c r="A622" s="6"/>
      <c r="B622" s="6"/>
      <c r="C622" s="6"/>
      <c r="D622" s="6"/>
      <c r="E622" s="6"/>
      <c r="F622" s="6"/>
    </row>
    <row r="623" spans="1:6" ht="15.75" customHeight="1">
      <c r="A623" s="6"/>
      <c r="B623" s="6"/>
      <c r="C623" s="6"/>
      <c r="D623" s="6"/>
      <c r="E623" s="6"/>
      <c r="F623" s="6"/>
    </row>
    <row r="624" spans="1:6" ht="15.75" customHeight="1">
      <c r="A624" s="6"/>
      <c r="B624" s="6"/>
      <c r="C624" s="6"/>
      <c r="D624" s="6"/>
      <c r="E624" s="6"/>
      <c r="F624" s="6"/>
    </row>
    <row r="625" spans="1:6" ht="15.75" customHeight="1">
      <c r="A625" s="6"/>
      <c r="B625" s="6"/>
      <c r="C625" s="6"/>
      <c r="D625" s="6"/>
      <c r="E625" s="6"/>
      <c r="F625" s="6"/>
    </row>
    <row r="626" spans="1:6" ht="15.75" customHeight="1">
      <c r="A626" s="6"/>
      <c r="B626" s="6"/>
      <c r="C626" s="6"/>
      <c r="D626" s="6"/>
      <c r="E626" s="6"/>
      <c r="F626" s="6"/>
    </row>
    <row r="627" spans="1:6" ht="15.75" customHeight="1">
      <c r="A627" s="6"/>
      <c r="B627" s="6"/>
      <c r="C627" s="6"/>
      <c r="D627" s="6"/>
      <c r="E627" s="6"/>
      <c r="F627" s="6"/>
    </row>
    <row r="628" spans="1:6" ht="15.75" customHeight="1">
      <c r="A628" s="6"/>
      <c r="B628" s="6"/>
      <c r="C628" s="6"/>
      <c r="D628" s="6"/>
      <c r="E628" s="6"/>
      <c r="F628" s="6"/>
    </row>
    <row r="629" spans="1:6" ht="15.75" customHeight="1">
      <c r="A629" s="6"/>
      <c r="B629" s="6"/>
      <c r="C629" s="6"/>
      <c r="D629" s="6"/>
      <c r="E629" s="6"/>
      <c r="F629" s="6"/>
    </row>
    <row r="630" spans="1:6" ht="15.75" customHeight="1">
      <c r="A630" s="6"/>
      <c r="B630" s="6"/>
      <c r="C630" s="6"/>
      <c r="D630" s="6"/>
      <c r="E630" s="6"/>
      <c r="F630" s="6"/>
    </row>
    <row r="631" spans="1:6" ht="15.75" customHeight="1">
      <c r="A631" s="6"/>
      <c r="B631" s="6"/>
      <c r="C631" s="6"/>
      <c r="D631" s="6"/>
      <c r="E631" s="6"/>
      <c r="F631" s="6"/>
    </row>
    <row r="632" spans="1:6" ht="15.75" customHeight="1">
      <c r="A632" s="6"/>
      <c r="B632" s="6"/>
      <c r="C632" s="6"/>
      <c r="D632" s="6"/>
      <c r="E632" s="6"/>
      <c r="F632" s="6"/>
    </row>
    <row r="633" spans="1:6" ht="15.75" customHeight="1">
      <c r="A633" s="6"/>
      <c r="B633" s="6"/>
      <c r="C633" s="6"/>
      <c r="D633" s="6"/>
      <c r="E633" s="6"/>
      <c r="F633" s="6"/>
    </row>
    <row r="634" spans="1:6" ht="15.75" customHeight="1">
      <c r="A634" s="6"/>
      <c r="B634" s="6"/>
      <c r="C634" s="6"/>
      <c r="D634" s="6"/>
      <c r="E634" s="6"/>
      <c r="F634" s="6"/>
    </row>
    <row r="635" spans="1:6" ht="15.75" customHeight="1">
      <c r="A635" s="6"/>
      <c r="B635" s="6"/>
      <c r="C635" s="6"/>
      <c r="D635" s="6"/>
      <c r="E635" s="6"/>
      <c r="F635" s="6"/>
    </row>
    <row r="636" spans="1:6" ht="15.75" customHeight="1">
      <c r="A636" s="6"/>
      <c r="B636" s="6"/>
      <c r="C636" s="6"/>
      <c r="D636" s="6"/>
      <c r="E636" s="6"/>
      <c r="F636" s="6"/>
    </row>
    <row r="637" spans="1:6" ht="15.75" customHeight="1">
      <c r="A637" s="6"/>
      <c r="B637" s="6"/>
      <c r="C637" s="6"/>
      <c r="D637" s="6"/>
      <c r="E637" s="6"/>
      <c r="F637" s="6"/>
    </row>
    <row r="638" spans="1:6" ht="15.75" customHeight="1">
      <c r="A638" s="6"/>
      <c r="B638" s="6"/>
      <c r="C638" s="6"/>
      <c r="D638" s="6"/>
      <c r="E638" s="6"/>
      <c r="F638" s="6"/>
    </row>
    <row r="639" spans="1:6" ht="15.75" customHeight="1">
      <c r="A639" s="6"/>
      <c r="B639" s="6"/>
      <c r="C639" s="6"/>
      <c r="D639" s="6"/>
      <c r="E639" s="6"/>
      <c r="F639" s="6"/>
    </row>
    <row r="640" spans="1:6" ht="15.75" customHeight="1">
      <c r="A640" s="6"/>
      <c r="B640" s="6"/>
      <c r="C640" s="6"/>
      <c r="D640" s="6"/>
      <c r="E640" s="6"/>
      <c r="F640" s="6"/>
    </row>
    <row r="641" spans="1:6" ht="15.75" customHeight="1">
      <c r="A641" s="6"/>
      <c r="B641" s="6"/>
      <c r="C641" s="6"/>
      <c r="D641" s="6"/>
      <c r="E641" s="6"/>
      <c r="F641" s="6"/>
    </row>
    <row r="642" spans="1:6" ht="15.75" customHeight="1">
      <c r="A642" s="6"/>
      <c r="B642" s="6"/>
      <c r="C642" s="6"/>
      <c r="D642" s="6"/>
      <c r="E642" s="6"/>
      <c r="F642" s="6"/>
    </row>
    <row r="643" spans="1:6" ht="15.75" customHeight="1">
      <c r="A643" s="6"/>
      <c r="B643" s="6"/>
      <c r="C643" s="6"/>
      <c r="D643" s="6"/>
      <c r="E643" s="6"/>
      <c r="F643" s="6"/>
    </row>
    <row r="644" spans="1:6" ht="15.75" customHeight="1">
      <c r="A644" s="6"/>
      <c r="B644" s="6"/>
      <c r="C644" s="6"/>
      <c r="D644" s="6"/>
      <c r="E644" s="6"/>
      <c r="F644" s="6"/>
    </row>
    <row r="645" spans="1:6" ht="15.75" customHeight="1">
      <c r="A645" s="6"/>
      <c r="B645" s="6"/>
      <c r="C645" s="6"/>
      <c r="D645" s="6"/>
      <c r="E645" s="6"/>
      <c r="F645" s="6"/>
    </row>
    <row r="646" spans="1:6" ht="15.75" customHeight="1">
      <c r="A646" s="6"/>
      <c r="B646" s="6"/>
      <c r="C646" s="6"/>
      <c r="D646" s="6"/>
      <c r="E646" s="6"/>
      <c r="F646" s="6"/>
    </row>
    <row r="647" spans="1:6" ht="15.75" customHeight="1">
      <c r="A647" s="6"/>
      <c r="B647" s="6"/>
      <c r="C647" s="6"/>
      <c r="D647" s="6"/>
      <c r="E647" s="6"/>
      <c r="F647" s="6"/>
    </row>
    <row r="648" spans="1:6" ht="15.75" customHeight="1">
      <c r="A648" s="6"/>
      <c r="B648" s="6"/>
      <c r="C648" s="6"/>
      <c r="D648" s="6"/>
      <c r="E648" s="6"/>
      <c r="F648" s="6"/>
    </row>
    <row r="649" spans="1:6" ht="15.75" customHeight="1">
      <c r="A649" s="6"/>
      <c r="B649" s="6"/>
      <c r="C649" s="6"/>
      <c r="D649" s="6"/>
      <c r="E649" s="6"/>
      <c r="F649" s="6"/>
    </row>
    <row r="650" spans="1:6" ht="15.75" customHeight="1">
      <c r="A650" s="6"/>
      <c r="B650" s="6"/>
      <c r="C650" s="6"/>
      <c r="D650" s="6"/>
      <c r="E650" s="6"/>
      <c r="F650" s="6"/>
    </row>
    <row r="651" spans="1:6" ht="15.75" customHeight="1">
      <c r="A651" s="6"/>
      <c r="B651" s="6"/>
      <c r="C651" s="6"/>
      <c r="D651" s="6"/>
      <c r="E651" s="6"/>
      <c r="F651" s="6"/>
    </row>
    <row r="652" spans="1:6" ht="15.75" customHeight="1">
      <c r="A652" s="6"/>
      <c r="B652" s="6"/>
      <c r="C652" s="6"/>
      <c r="D652" s="6"/>
      <c r="E652" s="6"/>
      <c r="F652" s="6"/>
    </row>
    <row r="653" spans="1:6" ht="15.75" customHeight="1">
      <c r="A653" s="6"/>
      <c r="B653" s="6"/>
      <c r="C653" s="6"/>
      <c r="D653" s="6"/>
      <c r="E653" s="6"/>
      <c r="F653" s="6"/>
    </row>
    <row r="654" spans="1:6" ht="15.75" customHeight="1">
      <c r="A654" s="6"/>
      <c r="B654" s="6"/>
      <c r="C654" s="6"/>
      <c r="D654" s="6"/>
      <c r="E654" s="6"/>
      <c r="F654" s="6"/>
    </row>
    <row r="655" spans="1:6" ht="15.75" customHeight="1">
      <c r="A655" s="6"/>
      <c r="B655" s="6"/>
      <c r="C655" s="6"/>
      <c r="D655" s="6"/>
      <c r="E655" s="6"/>
      <c r="F655" s="6"/>
    </row>
    <row r="656" spans="1:6" ht="15.75" customHeight="1">
      <c r="A656" s="6"/>
      <c r="B656" s="6"/>
      <c r="C656" s="6"/>
      <c r="D656" s="6"/>
      <c r="E656" s="6"/>
      <c r="F656" s="6"/>
    </row>
    <row r="657" spans="1:6" ht="15.75" customHeight="1">
      <c r="A657" s="6"/>
      <c r="B657" s="6"/>
      <c r="C657" s="6"/>
      <c r="D657" s="6"/>
      <c r="E657" s="6"/>
      <c r="F657" s="6"/>
    </row>
    <row r="658" spans="1:6" ht="15.75" customHeight="1">
      <c r="A658" s="6"/>
      <c r="B658" s="6"/>
      <c r="C658" s="6"/>
      <c r="D658" s="6"/>
      <c r="E658" s="6"/>
      <c r="F658" s="6"/>
    </row>
    <row r="659" spans="1:6" ht="15.75" customHeight="1">
      <c r="A659" s="6"/>
      <c r="B659" s="6"/>
      <c r="C659" s="6"/>
      <c r="D659" s="6"/>
      <c r="E659" s="6"/>
      <c r="F659" s="6"/>
    </row>
    <row r="660" spans="1:6" ht="15.75" customHeight="1">
      <c r="A660" s="6"/>
      <c r="B660" s="6"/>
      <c r="C660" s="6"/>
      <c r="D660" s="6"/>
      <c r="E660" s="6"/>
      <c r="F660" s="6"/>
    </row>
    <row r="661" spans="1:6" ht="15.75" customHeight="1">
      <c r="A661" s="6"/>
      <c r="B661" s="6"/>
      <c r="C661" s="6"/>
      <c r="D661" s="6"/>
      <c r="E661" s="6"/>
      <c r="F661" s="6"/>
    </row>
    <row r="662" spans="1:6" ht="15.75" customHeight="1">
      <c r="A662" s="6"/>
      <c r="B662" s="6"/>
      <c r="C662" s="6"/>
      <c r="D662" s="6"/>
      <c r="E662" s="6"/>
      <c r="F662" s="6"/>
    </row>
    <row r="663" spans="1:6" ht="15.75" customHeight="1">
      <c r="A663" s="6"/>
      <c r="B663" s="6"/>
      <c r="C663" s="6"/>
      <c r="D663" s="6"/>
      <c r="E663" s="6"/>
      <c r="F663" s="6"/>
    </row>
    <row r="664" spans="1:6" ht="15.75" customHeight="1">
      <c r="A664" s="6"/>
      <c r="B664" s="6"/>
      <c r="C664" s="6"/>
      <c r="D664" s="6"/>
      <c r="E664" s="6"/>
      <c r="F664" s="6"/>
    </row>
    <row r="665" spans="1:6" ht="15.75" customHeight="1">
      <c r="A665" s="6"/>
      <c r="B665" s="6"/>
      <c r="C665" s="6"/>
      <c r="D665" s="6"/>
      <c r="E665" s="6"/>
      <c r="F665" s="6"/>
    </row>
    <row r="666" spans="1:6" ht="15.75" customHeight="1">
      <c r="A666" s="6"/>
      <c r="B666" s="6"/>
      <c r="C666" s="6"/>
      <c r="D666" s="6"/>
      <c r="E666" s="6"/>
      <c r="F666" s="6"/>
    </row>
    <row r="667" spans="1:6" ht="15.75" customHeight="1">
      <c r="A667" s="6"/>
      <c r="B667" s="6"/>
      <c r="C667" s="6"/>
      <c r="D667" s="6"/>
      <c r="E667" s="6"/>
      <c r="F667" s="6"/>
    </row>
    <row r="668" spans="1:6" ht="15.75" customHeight="1">
      <c r="A668" s="6"/>
      <c r="B668" s="6"/>
      <c r="C668" s="6"/>
      <c r="D668" s="6"/>
      <c r="E668" s="6"/>
      <c r="F668" s="6"/>
    </row>
    <row r="669" spans="1:6" ht="15.75" customHeight="1">
      <c r="A669" s="6"/>
      <c r="B669" s="6"/>
      <c r="C669" s="6"/>
      <c r="D669" s="6"/>
      <c r="E669" s="6"/>
      <c r="F669" s="6"/>
    </row>
    <row r="670" spans="1:6" ht="15.75" customHeight="1">
      <c r="A670" s="6"/>
      <c r="B670" s="6"/>
      <c r="C670" s="6"/>
      <c r="D670" s="6"/>
      <c r="E670" s="6"/>
      <c r="F670" s="6"/>
    </row>
    <row r="671" spans="1:6" ht="15.75" customHeight="1">
      <c r="A671" s="6"/>
      <c r="B671" s="6"/>
      <c r="C671" s="6"/>
      <c r="D671" s="6"/>
      <c r="E671" s="6"/>
      <c r="F671" s="6"/>
    </row>
    <row r="672" spans="1:6" ht="15.75" customHeight="1">
      <c r="A672" s="6"/>
      <c r="B672" s="6"/>
      <c r="C672" s="6"/>
      <c r="D672" s="6"/>
      <c r="E672" s="6"/>
      <c r="F672" s="6"/>
    </row>
    <row r="673" spans="1:6" ht="15.75" customHeight="1">
      <c r="A673" s="6"/>
      <c r="B673" s="6"/>
      <c r="C673" s="6"/>
      <c r="D673" s="6"/>
      <c r="E673" s="6"/>
      <c r="F673" s="6"/>
    </row>
    <row r="674" spans="1:6" ht="15.75" customHeight="1">
      <c r="A674" s="6"/>
      <c r="B674" s="6"/>
      <c r="C674" s="6"/>
      <c r="D674" s="6"/>
      <c r="E674" s="6"/>
      <c r="F674" s="6"/>
    </row>
    <row r="675" spans="1:6" ht="15.75" customHeight="1">
      <c r="A675" s="6"/>
      <c r="B675" s="6"/>
      <c r="C675" s="6"/>
      <c r="D675" s="6"/>
      <c r="E675" s="6"/>
      <c r="F675" s="6"/>
    </row>
    <row r="676" spans="1:6" ht="15.75" customHeight="1">
      <c r="A676" s="6"/>
      <c r="B676" s="6"/>
      <c r="C676" s="6"/>
      <c r="D676" s="6"/>
      <c r="E676" s="6"/>
      <c r="F676" s="6"/>
    </row>
    <row r="677" spans="1:6" ht="15.75" customHeight="1">
      <c r="A677" s="6"/>
      <c r="B677" s="6"/>
      <c r="C677" s="6"/>
      <c r="D677" s="6"/>
      <c r="E677" s="6"/>
      <c r="F677" s="6"/>
    </row>
    <row r="678" spans="1:6" ht="15.75" customHeight="1">
      <c r="A678" s="6"/>
      <c r="B678" s="6"/>
      <c r="C678" s="6"/>
      <c r="D678" s="6"/>
      <c r="E678" s="6"/>
      <c r="F678" s="6"/>
    </row>
    <row r="679" spans="1:6" ht="15.75" customHeight="1">
      <c r="A679" s="6"/>
      <c r="B679" s="6"/>
      <c r="C679" s="6"/>
      <c r="D679" s="6"/>
      <c r="E679" s="6"/>
      <c r="F679" s="6"/>
    </row>
    <row r="680" spans="1:6" ht="15.75" customHeight="1">
      <c r="A680" s="6"/>
      <c r="B680" s="6"/>
      <c r="C680" s="6"/>
      <c r="D680" s="6"/>
      <c r="E680" s="6"/>
      <c r="F680" s="6"/>
    </row>
    <row r="681" spans="1:6" ht="15.75" customHeight="1">
      <c r="A681" s="6"/>
      <c r="B681" s="6"/>
      <c r="C681" s="6"/>
      <c r="D681" s="6"/>
      <c r="E681" s="6"/>
      <c r="F681" s="6"/>
    </row>
    <row r="682" spans="1:6" ht="15.75" customHeight="1">
      <c r="A682" s="6"/>
      <c r="B682" s="6"/>
      <c r="C682" s="6"/>
      <c r="D682" s="6"/>
      <c r="E682" s="6"/>
      <c r="F682" s="6"/>
    </row>
    <row r="683" spans="1:6" ht="15.75" customHeight="1">
      <c r="A683" s="6"/>
      <c r="B683" s="6"/>
      <c r="C683" s="6"/>
      <c r="D683" s="6"/>
      <c r="E683" s="6"/>
      <c r="F683" s="6"/>
    </row>
    <row r="684" spans="1:6" ht="15.75" customHeight="1">
      <c r="A684" s="6"/>
      <c r="B684" s="6"/>
      <c r="C684" s="6"/>
      <c r="D684" s="6"/>
      <c r="E684" s="6"/>
      <c r="F684" s="6"/>
    </row>
    <row r="685" spans="1:6" ht="15.75" customHeight="1">
      <c r="A685" s="6"/>
      <c r="B685" s="6"/>
      <c r="C685" s="6"/>
      <c r="D685" s="6"/>
      <c r="E685" s="6"/>
      <c r="F685" s="6"/>
    </row>
    <row r="686" spans="1:6" ht="15.75" customHeight="1">
      <c r="A686" s="6"/>
      <c r="B686" s="6"/>
      <c r="C686" s="6"/>
      <c r="D686" s="6"/>
      <c r="E686" s="6"/>
      <c r="F686" s="6"/>
    </row>
    <row r="687" spans="1:6" ht="15.75" customHeight="1">
      <c r="A687" s="6"/>
      <c r="B687" s="6"/>
      <c r="C687" s="6"/>
      <c r="D687" s="6"/>
      <c r="E687" s="6"/>
      <c r="F687" s="6"/>
    </row>
    <row r="688" spans="1:6" ht="15.75" customHeight="1">
      <c r="A688" s="6"/>
      <c r="B688" s="6"/>
      <c r="C688" s="6"/>
      <c r="D688" s="6"/>
      <c r="E688" s="6"/>
      <c r="F688" s="6"/>
    </row>
    <row r="689" spans="1:6" ht="15.75" customHeight="1">
      <c r="A689" s="6"/>
      <c r="B689" s="6"/>
      <c r="C689" s="6"/>
      <c r="D689" s="6"/>
      <c r="E689" s="6"/>
      <c r="F689" s="6"/>
    </row>
    <row r="690" spans="1:6" ht="15.75" customHeight="1">
      <c r="A690" s="6"/>
      <c r="B690" s="6"/>
      <c r="C690" s="6"/>
      <c r="D690" s="6"/>
      <c r="E690" s="6"/>
      <c r="F690" s="6"/>
    </row>
    <row r="691" spans="1:6" ht="15.75" customHeight="1">
      <c r="A691" s="6"/>
      <c r="B691" s="6"/>
      <c r="C691" s="6"/>
      <c r="D691" s="6"/>
      <c r="E691" s="6"/>
      <c r="F691" s="6"/>
    </row>
    <row r="692" spans="1:6" ht="15.75" customHeight="1">
      <c r="A692" s="6"/>
      <c r="B692" s="6"/>
      <c r="C692" s="6"/>
      <c r="D692" s="6"/>
      <c r="E692" s="6"/>
      <c r="F692" s="6"/>
    </row>
    <row r="693" spans="1:6" ht="15.75" customHeight="1">
      <c r="A693" s="6"/>
      <c r="B693" s="6"/>
      <c r="C693" s="6"/>
      <c r="D693" s="6"/>
      <c r="E693" s="6"/>
      <c r="F693" s="6"/>
    </row>
    <row r="694" spans="1:6" ht="15.75" customHeight="1">
      <c r="A694" s="6"/>
      <c r="B694" s="6"/>
      <c r="C694" s="6"/>
      <c r="D694" s="6"/>
      <c r="E694" s="6"/>
      <c r="F694" s="6"/>
    </row>
    <row r="695" spans="1:6" ht="15.75" customHeight="1">
      <c r="A695" s="6"/>
      <c r="B695" s="6"/>
      <c r="C695" s="6"/>
      <c r="D695" s="6"/>
      <c r="E695" s="6"/>
      <c r="F695" s="6"/>
    </row>
    <row r="696" spans="1:6" ht="15.75" customHeight="1">
      <c r="A696" s="6"/>
      <c r="B696" s="6"/>
      <c r="C696" s="6"/>
      <c r="D696" s="6"/>
      <c r="E696" s="6"/>
      <c r="F696" s="6"/>
    </row>
    <row r="697" spans="1:6" ht="15.75" customHeight="1">
      <c r="A697" s="6"/>
      <c r="B697" s="6"/>
      <c r="C697" s="6"/>
      <c r="D697" s="6"/>
      <c r="E697" s="6"/>
      <c r="F697" s="6"/>
    </row>
    <row r="698" spans="1:6" ht="15.75" customHeight="1">
      <c r="A698" s="6"/>
      <c r="B698" s="6"/>
      <c r="C698" s="6"/>
      <c r="D698" s="6"/>
      <c r="E698" s="6"/>
      <c r="F698" s="6"/>
    </row>
    <row r="699" spans="1:6" ht="15.75" customHeight="1">
      <c r="A699" s="6"/>
      <c r="B699" s="6"/>
      <c r="C699" s="6"/>
      <c r="D699" s="6"/>
      <c r="E699" s="6"/>
      <c r="F699" s="6"/>
    </row>
    <row r="700" spans="1:6" ht="15.75" customHeight="1">
      <c r="A700" s="6"/>
      <c r="B700" s="6"/>
      <c r="C700" s="6"/>
      <c r="D700" s="6"/>
      <c r="E700" s="6"/>
      <c r="F700" s="6"/>
    </row>
    <row r="701" spans="1:6" ht="15.75" customHeight="1">
      <c r="A701" s="6"/>
      <c r="B701" s="6"/>
      <c r="C701" s="6"/>
      <c r="D701" s="6"/>
      <c r="E701" s="6"/>
      <c r="F701" s="6"/>
    </row>
    <row r="702" spans="1:6" ht="15.75" customHeight="1">
      <c r="A702" s="6"/>
      <c r="B702" s="6"/>
      <c r="C702" s="6"/>
      <c r="D702" s="6"/>
      <c r="E702" s="6"/>
      <c r="F702" s="6"/>
    </row>
    <row r="703" spans="1:6" ht="15.75" customHeight="1">
      <c r="A703" s="6"/>
      <c r="B703" s="6"/>
      <c r="C703" s="6"/>
      <c r="D703" s="6"/>
      <c r="E703" s="6"/>
      <c r="F703" s="6"/>
    </row>
    <row r="704" spans="1:6" ht="15.75" customHeight="1">
      <c r="A704" s="6"/>
      <c r="B704" s="6"/>
      <c r="C704" s="6"/>
      <c r="D704" s="6"/>
      <c r="E704" s="6"/>
      <c r="F704" s="6"/>
    </row>
    <row r="705" spans="1:6" ht="15.75" customHeight="1">
      <c r="A705" s="6"/>
      <c r="B705" s="6"/>
      <c r="C705" s="6"/>
      <c r="D705" s="6"/>
      <c r="E705" s="6"/>
      <c r="F705" s="6"/>
    </row>
    <row r="706" spans="1:6" ht="15.75" customHeight="1">
      <c r="A706" s="6"/>
      <c r="B706" s="6"/>
      <c r="C706" s="6"/>
      <c r="D706" s="6"/>
      <c r="E706" s="6"/>
      <c r="F706" s="6"/>
    </row>
    <row r="707" spans="1:6" ht="15.75" customHeight="1">
      <c r="A707" s="6"/>
      <c r="B707" s="6"/>
      <c r="C707" s="6"/>
      <c r="D707" s="6"/>
      <c r="E707" s="6"/>
      <c r="F707" s="6"/>
    </row>
    <row r="708" spans="1:6" ht="15.75" customHeight="1">
      <c r="A708" s="6"/>
      <c r="B708" s="6"/>
      <c r="C708" s="6"/>
      <c r="D708" s="6"/>
      <c r="E708" s="6"/>
      <c r="F708" s="6"/>
    </row>
    <row r="709" spans="1:6" ht="15.75" customHeight="1">
      <c r="A709" s="6"/>
      <c r="B709" s="6"/>
      <c r="C709" s="6"/>
      <c r="D709" s="6"/>
      <c r="E709" s="6"/>
      <c r="F709" s="6"/>
    </row>
    <row r="710" spans="1:6" ht="15.75" customHeight="1">
      <c r="A710" s="6"/>
      <c r="B710" s="6"/>
      <c r="C710" s="6"/>
      <c r="D710" s="6"/>
      <c r="E710" s="6"/>
      <c r="F710" s="6"/>
    </row>
    <row r="711" spans="1:6" ht="15.75" customHeight="1">
      <c r="A711" s="6"/>
      <c r="B711" s="6"/>
      <c r="C711" s="6"/>
      <c r="D711" s="6"/>
      <c r="E711" s="6"/>
      <c r="F711" s="6"/>
    </row>
    <row r="712" spans="1:6" ht="15.75" customHeight="1">
      <c r="A712" s="6"/>
      <c r="B712" s="6"/>
      <c r="C712" s="6"/>
      <c r="D712" s="6"/>
      <c r="E712" s="6"/>
      <c r="F712" s="6"/>
    </row>
    <row r="713" spans="1:6" ht="15.75" customHeight="1">
      <c r="A713" s="6"/>
      <c r="B713" s="6"/>
      <c r="C713" s="6"/>
      <c r="D713" s="6"/>
      <c r="E713" s="6"/>
      <c r="F713" s="6"/>
    </row>
    <row r="714" spans="1:6" ht="15.75" customHeight="1">
      <c r="A714" s="6"/>
      <c r="B714" s="6"/>
      <c r="C714" s="6"/>
      <c r="D714" s="6"/>
      <c r="E714" s="6"/>
      <c r="F714" s="6"/>
    </row>
    <row r="715" spans="1:6" ht="15.75" customHeight="1">
      <c r="A715" s="6"/>
      <c r="B715" s="6"/>
      <c r="C715" s="6"/>
      <c r="D715" s="6"/>
      <c r="E715" s="6"/>
      <c r="F715" s="6"/>
    </row>
    <row r="716" spans="1:6" ht="15.75" customHeight="1">
      <c r="A716" s="6"/>
      <c r="B716" s="6"/>
      <c r="C716" s="6"/>
      <c r="D716" s="6"/>
      <c r="E716" s="6"/>
      <c r="F716" s="6"/>
    </row>
    <row r="717" spans="1:6" ht="15.75" customHeight="1">
      <c r="A717" s="6"/>
      <c r="B717" s="6"/>
      <c r="C717" s="6"/>
      <c r="D717" s="6"/>
      <c r="E717" s="6"/>
      <c r="F717" s="6"/>
    </row>
    <row r="718" spans="1:6" ht="15.75" customHeight="1">
      <c r="A718" s="6"/>
      <c r="B718" s="6"/>
      <c r="C718" s="6"/>
      <c r="D718" s="6"/>
      <c r="E718" s="6"/>
      <c r="F718" s="6"/>
    </row>
    <row r="719" spans="1:6" ht="15.75" customHeight="1">
      <c r="A719" s="6"/>
      <c r="B719" s="6"/>
      <c r="C719" s="6"/>
      <c r="D719" s="6"/>
      <c r="E719" s="6"/>
      <c r="F719" s="6"/>
    </row>
    <row r="720" spans="1:6" ht="15.75" customHeight="1">
      <c r="A720" s="6"/>
      <c r="B720" s="6"/>
      <c r="C720" s="6"/>
      <c r="D720" s="6"/>
      <c r="E720" s="6"/>
      <c r="F720" s="6"/>
    </row>
    <row r="721" spans="1:6" ht="15.75" customHeight="1">
      <c r="A721" s="6"/>
      <c r="B721" s="6"/>
      <c r="C721" s="6"/>
      <c r="D721" s="6"/>
      <c r="E721" s="6"/>
      <c r="F721" s="6"/>
    </row>
    <row r="722" spans="1:6" ht="15.75" customHeight="1">
      <c r="A722" s="6"/>
      <c r="B722" s="6"/>
      <c r="C722" s="6"/>
      <c r="D722" s="6"/>
      <c r="E722" s="6"/>
      <c r="F722" s="6"/>
    </row>
    <row r="723" spans="1:6" ht="15.75" customHeight="1">
      <c r="A723" s="6"/>
      <c r="B723" s="6"/>
      <c r="C723" s="6"/>
      <c r="D723" s="6"/>
      <c r="E723" s="6"/>
      <c r="F723" s="6"/>
    </row>
    <row r="724" spans="1:6" ht="15.75" customHeight="1">
      <c r="A724" s="6"/>
      <c r="B724" s="6"/>
      <c r="C724" s="6"/>
      <c r="D724" s="6"/>
      <c r="E724" s="6"/>
      <c r="F724" s="6"/>
    </row>
    <row r="725" spans="1:6" ht="15.75" customHeight="1">
      <c r="A725" s="6"/>
      <c r="B725" s="6"/>
      <c r="C725" s="6"/>
      <c r="D725" s="6"/>
      <c r="E725" s="6"/>
      <c r="F725" s="6"/>
    </row>
    <row r="726" spans="1:6" ht="15.75" customHeight="1">
      <c r="A726" s="6"/>
      <c r="B726" s="6"/>
      <c r="C726" s="6"/>
      <c r="D726" s="6"/>
      <c r="E726" s="6"/>
      <c r="F726" s="6"/>
    </row>
    <row r="727" spans="1:6" ht="15.75" customHeight="1">
      <c r="A727" s="6"/>
      <c r="B727" s="6"/>
      <c r="C727" s="6"/>
      <c r="D727" s="6"/>
      <c r="E727" s="6"/>
      <c r="F727" s="6"/>
    </row>
    <row r="728" spans="1:6" ht="15.75" customHeight="1">
      <c r="A728" s="6"/>
      <c r="B728" s="6"/>
      <c r="C728" s="6"/>
      <c r="D728" s="6"/>
      <c r="E728" s="6"/>
      <c r="F728" s="6"/>
    </row>
    <row r="729" spans="1:6" ht="15.75" customHeight="1">
      <c r="A729" s="6"/>
      <c r="B729" s="6"/>
      <c r="C729" s="6"/>
      <c r="D729" s="6"/>
      <c r="E729" s="6"/>
      <c r="F729" s="6"/>
    </row>
    <row r="730" spans="1:6" ht="15.75" customHeight="1">
      <c r="A730" s="6"/>
      <c r="B730" s="6"/>
      <c r="C730" s="6"/>
      <c r="D730" s="6"/>
      <c r="E730" s="6"/>
      <c r="F730" s="6"/>
    </row>
    <row r="731" spans="1:6" ht="15.75" customHeight="1">
      <c r="A731" s="6"/>
      <c r="B731" s="6"/>
      <c r="C731" s="6"/>
      <c r="D731" s="6"/>
      <c r="E731" s="6"/>
      <c r="F731" s="6"/>
    </row>
    <row r="732" spans="1:6" ht="15.75" customHeight="1">
      <c r="A732" s="6"/>
      <c r="B732" s="6"/>
      <c r="C732" s="6"/>
      <c r="D732" s="6"/>
      <c r="E732" s="6"/>
      <c r="F732" s="6"/>
    </row>
    <row r="733" spans="1:6" ht="15.75" customHeight="1">
      <c r="A733" s="6"/>
      <c r="B733" s="6"/>
      <c r="C733" s="6"/>
      <c r="D733" s="6"/>
      <c r="E733" s="6"/>
      <c r="F733" s="6"/>
    </row>
    <row r="734" spans="1:6" ht="15.75" customHeight="1">
      <c r="A734" s="6"/>
      <c r="B734" s="6"/>
      <c r="C734" s="6"/>
      <c r="D734" s="6"/>
      <c r="E734" s="6"/>
      <c r="F734" s="6"/>
    </row>
    <row r="735" spans="1:6" ht="15.75" customHeight="1">
      <c r="A735" s="6"/>
      <c r="B735" s="6"/>
      <c r="C735" s="6"/>
      <c r="D735" s="6"/>
      <c r="E735" s="6"/>
      <c r="F735" s="6"/>
    </row>
    <row r="736" spans="1:6" ht="15.75" customHeight="1">
      <c r="A736" s="6"/>
      <c r="B736" s="6"/>
      <c r="C736" s="6"/>
      <c r="D736" s="6"/>
      <c r="E736" s="6"/>
      <c r="F736" s="6"/>
    </row>
    <row r="737" spans="1:6" ht="15.75" customHeight="1">
      <c r="A737" s="6"/>
      <c r="B737" s="6"/>
      <c r="C737" s="6"/>
      <c r="D737" s="6"/>
      <c r="E737" s="6"/>
      <c r="F737" s="6"/>
    </row>
    <row r="738" spans="1:6" ht="15.75" customHeight="1">
      <c r="A738" s="6"/>
      <c r="B738" s="6"/>
      <c r="C738" s="6"/>
      <c r="D738" s="6"/>
      <c r="E738" s="6"/>
      <c r="F738" s="6"/>
    </row>
    <row r="739" spans="1:6" ht="15.75" customHeight="1">
      <c r="A739" s="6"/>
      <c r="B739" s="6"/>
      <c r="C739" s="6"/>
      <c r="D739" s="6"/>
      <c r="E739" s="6"/>
      <c r="F739" s="6"/>
    </row>
    <row r="740" spans="1:6" ht="15.75" customHeight="1">
      <c r="A740" s="6"/>
      <c r="B740" s="6"/>
      <c r="C740" s="6"/>
      <c r="D740" s="6"/>
      <c r="E740" s="6"/>
      <c r="F740" s="6"/>
    </row>
    <row r="741" spans="1:6" ht="15.75" customHeight="1">
      <c r="A741" s="6"/>
      <c r="B741" s="6"/>
      <c r="C741" s="6"/>
      <c r="D741" s="6"/>
      <c r="E741" s="6"/>
      <c r="F741" s="6"/>
    </row>
    <row r="742" spans="1:6" ht="15.75" customHeight="1">
      <c r="A742" s="6"/>
      <c r="B742" s="6"/>
      <c r="C742" s="6"/>
      <c r="D742" s="6"/>
      <c r="E742" s="6"/>
      <c r="F742" s="6"/>
    </row>
    <row r="743" spans="1:6" ht="15.75" customHeight="1">
      <c r="A743" s="6"/>
      <c r="B743" s="6"/>
      <c r="C743" s="6"/>
      <c r="D743" s="6"/>
      <c r="E743" s="6"/>
      <c r="F743" s="6"/>
    </row>
    <row r="744" spans="1:6" ht="15.75" customHeight="1">
      <c r="A744" s="6"/>
      <c r="B744" s="6"/>
      <c r="C744" s="6"/>
      <c r="D744" s="6"/>
      <c r="E744" s="6"/>
      <c r="F744" s="6"/>
    </row>
    <row r="745" spans="1:6" ht="15.75" customHeight="1">
      <c r="A745" s="6"/>
      <c r="B745" s="6"/>
      <c r="C745" s="6"/>
      <c r="D745" s="6"/>
      <c r="E745" s="6"/>
      <c r="F745" s="6"/>
    </row>
    <row r="746" spans="1:6" ht="15.75" customHeight="1">
      <c r="A746" s="6"/>
      <c r="B746" s="6"/>
      <c r="C746" s="6"/>
      <c r="D746" s="6"/>
      <c r="E746" s="6"/>
      <c r="F746" s="6"/>
    </row>
    <row r="747" spans="1:6" ht="15.75" customHeight="1">
      <c r="A747" s="6"/>
      <c r="B747" s="6"/>
      <c r="C747" s="6"/>
      <c r="D747" s="6"/>
      <c r="E747" s="6"/>
      <c r="F747" s="6"/>
    </row>
    <row r="748" spans="1:6" ht="15.75" customHeight="1">
      <c r="A748" s="6"/>
      <c r="B748" s="6"/>
      <c r="C748" s="6"/>
      <c r="D748" s="6"/>
      <c r="E748" s="6"/>
      <c r="F748" s="6"/>
    </row>
    <row r="749" spans="1:6" ht="15.75" customHeight="1">
      <c r="A749" s="6"/>
      <c r="B749" s="6"/>
      <c r="C749" s="6"/>
      <c r="D749" s="6"/>
      <c r="E749" s="6"/>
      <c r="F749" s="6"/>
    </row>
    <row r="750" spans="1:6" ht="15.75" customHeight="1">
      <c r="A750" s="6"/>
      <c r="B750" s="6"/>
      <c r="C750" s="6"/>
      <c r="D750" s="6"/>
      <c r="E750" s="6"/>
      <c r="F750" s="6"/>
    </row>
    <row r="751" spans="1:6" ht="15.75" customHeight="1">
      <c r="A751" s="6"/>
      <c r="B751" s="6"/>
      <c r="C751" s="6"/>
      <c r="D751" s="6"/>
      <c r="E751" s="6"/>
      <c r="F751" s="6"/>
    </row>
    <row r="752" spans="1:6" ht="15.75" customHeight="1">
      <c r="A752" s="6"/>
      <c r="B752" s="6"/>
      <c r="C752" s="6"/>
      <c r="D752" s="6"/>
      <c r="E752" s="6"/>
      <c r="F752" s="6"/>
    </row>
    <row r="753" spans="1:6" ht="15.75" customHeight="1">
      <c r="A753" s="6"/>
      <c r="B753" s="6"/>
      <c r="C753" s="6"/>
      <c r="D753" s="6"/>
      <c r="E753" s="6"/>
      <c r="F753" s="6"/>
    </row>
    <row r="754" spans="1:6" ht="15.75" customHeight="1">
      <c r="A754" s="6"/>
      <c r="B754" s="6"/>
      <c r="C754" s="6"/>
      <c r="D754" s="6"/>
      <c r="E754" s="6"/>
      <c r="F754" s="6"/>
    </row>
    <row r="755" spans="1:6" ht="15.75" customHeight="1">
      <c r="A755" s="6"/>
      <c r="B755" s="6"/>
      <c r="C755" s="6"/>
      <c r="D755" s="6"/>
      <c r="E755" s="6"/>
      <c r="F755" s="6"/>
    </row>
    <row r="756" spans="1:6" ht="15.75" customHeight="1">
      <c r="A756" s="6"/>
      <c r="B756" s="6"/>
      <c r="C756" s="6"/>
      <c r="D756" s="6"/>
      <c r="E756" s="6"/>
      <c r="F756" s="6"/>
    </row>
    <row r="757" spans="1:6" ht="15.75" customHeight="1">
      <c r="A757" s="6"/>
      <c r="B757" s="6"/>
      <c r="C757" s="6"/>
      <c r="D757" s="6"/>
      <c r="E757" s="6"/>
      <c r="F757" s="6"/>
    </row>
    <row r="758" spans="1:6" ht="15.75" customHeight="1">
      <c r="A758" s="6"/>
      <c r="B758" s="6"/>
      <c r="C758" s="6"/>
      <c r="D758" s="6"/>
      <c r="E758" s="6"/>
      <c r="F758" s="6"/>
    </row>
    <row r="759" spans="1:6" ht="15.75" customHeight="1">
      <c r="A759" s="6"/>
      <c r="B759" s="6"/>
      <c r="C759" s="6"/>
      <c r="D759" s="6"/>
      <c r="E759" s="6"/>
      <c r="F759" s="6"/>
    </row>
    <row r="760" spans="1:6" ht="15.75" customHeight="1">
      <c r="A760" s="6"/>
      <c r="B760" s="6"/>
      <c r="C760" s="6"/>
      <c r="D760" s="6"/>
      <c r="E760" s="6"/>
      <c r="F760" s="6"/>
    </row>
    <row r="761" spans="1:6" ht="15.75" customHeight="1">
      <c r="A761" s="6"/>
      <c r="B761" s="6"/>
      <c r="C761" s="6"/>
      <c r="D761" s="6"/>
      <c r="E761" s="6"/>
      <c r="F761" s="6"/>
    </row>
    <row r="762" spans="1:6" ht="15.75" customHeight="1">
      <c r="A762" s="6"/>
      <c r="B762" s="6"/>
      <c r="C762" s="6"/>
      <c r="D762" s="6"/>
      <c r="E762" s="6"/>
      <c r="F762" s="6"/>
    </row>
    <row r="763" spans="1:6" ht="15.75" customHeight="1">
      <c r="A763" s="6"/>
      <c r="B763" s="6"/>
      <c r="C763" s="6"/>
      <c r="D763" s="6"/>
      <c r="E763" s="6"/>
      <c r="F763" s="6"/>
    </row>
    <row r="764" spans="1:6" ht="15.75" customHeight="1">
      <c r="A764" s="6"/>
      <c r="B764" s="6"/>
      <c r="C764" s="6"/>
      <c r="D764" s="6"/>
      <c r="E764" s="6"/>
      <c r="F764" s="6"/>
    </row>
    <row r="765" spans="1:6" ht="15.75" customHeight="1">
      <c r="A765" s="6"/>
      <c r="B765" s="6"/>
      <c r="C765" s="6"/>
      <c r="D765" s="6"/>
      <c r="E765" s="6"/>
      <c r="F765" s="6"/>
    </row>
    <row r="766" spans="1:6" ht="15.75" customHeight="1">
      <c r="A766" s="6"/>
      <c r="B766" s="6"/>
      <c r="C766" s="6"/>
      <c r="D766" s="6"/>
      <c r="E766" s="6"/>
      <c r="F766" s="6"/>
    </row>
    <row r="767" spans="1:6" ht="15.75" customHeight="1">
      <c r="A767" s="6"/>
      <c r="B767" s="6"/>
      <c r="C767" s="6"/>
      <c r="D767" s="6"/>
      <c r="E767" s="6"/>
      <c r="F767" s="6"/>
    </row>
    <row r="768" spans="1:6" ht="15.75" customHeight="1">
      <c r="A768" s="6"/>
      <c r="B768" s="6"/>
      <c r="C768" s="6"/>
      <c r="D768" s="6"/>
      <c r="E768" s="6"/>
      <c r="F768" s="6"/>
    </row>
    <row r="769" spans="1:6" ht="15.75" customHeight="1">
      <c r="A769" s="6"/>
      <c r="B769" s="6"/>
      <c r="C769" s="6"/>
      <c r="D769" s="6"/>
      <c r="E769" s="6"/>
      <c r="F769" s="6"/>
    </row>
    <row r="770" spans="1:6" ht="15.75" customHeight="1">
      <c r="A770" s="6"/>
      <c r="B770" s="6"/>
      <c r="C770" s="6"/>
      <c r="D770" s="6"/>
      <c r="E770" s="6"/>
      <c r="F770" s="6"/>
    </row>
    <row r="771" spans="1:6" ht="15.75" customHeight="1">
      <c r="A771" s="6"/>
      <c r="B771" s="6"/>
      <c r="C771" s="6"/>
      <c r="D771" s="6"/>
      <c r="E771" s="6"/>
      <c r="F771" s="6"/>
    </row>
    <row r="772" spans="1:6" ht="15.75" customHeight="1">
      <c r="A772" s="6"/>
      <c r="B772" s="6"/>
      <c r="C772" s="6"/>
      <c r="D772" s="6"/>
      <c r="E772" s="6"/>
      <c r="F772" s="6"/>
    </row>
    <row r="773" spans="1:6" ht="15.75" customHeight="1">
      <c r="A773" s="6"/>
      <c r="B773" s="6"/>
      <c r="C773" s="6"/>
      <c r="D773" s="6"/>
      <c r="E773" s="6"/>
      <c r="F773" s="6"/>
    </row>
    <row r="774" spans="1:6" ht="15.75" customHeight="1">
      <c r="A774" s="6"/>
      <c r="B774" s="6"/>
      <c r="C774" s="6"/>
      <c r="D774" s="6"/>
      <c r="E774" s="6"/>
      <c r="F774" s="6"/>
    </row>
    <row r="775" spans="1:6" ht="15.75" customHeight="1">
      <c r="A775" s="6"/>
      <c r="B775" s="6"/>
      <c r="C775" s="6"/>
      <c r="D775" s="6"/>
      <c r="E775" s="6"/>
      <c r="F775" s="6"/>
    </row>
    <row r="776" spans="1:6" ht="15.75" customHeight="1">
      <c r="A776" s="6"/>
      <c r="B776" s="6"/>
      <c r="C776" s="6"/>
      <c r="D776" s="6"/>
      <c r="E776" s="6"/>
      <c r="F776" s="6"/>
    </row>
    <row r="777" spans="1:6" ht="15.75" customHeight="1">
      <c r="A777" s="6"/>
      <c r="B777" s="6"/>
      <c r="C777" s="6"/>
      <c r="D777" s="6"/>
      <c r="E777" s="6"/>
      <c r="F777" s="6"/>
    </row>
    <row r="778" spans="1:6" ht="15.75" customHeight="1">
      <c r="A778" s="6"/>
      <c r="B778" s="6"/>
      <c r="C778" s="6"/>
      <c r="D778" s="6"/>
      <c r="E778" s="6"/>
      <c r="F778" s="6"/>
    </row>
    <row r="779" spans="1:6" ht="15.75" customHeight="1">
      <c r="A779" s="6"/>
      <c r="B779" s="6"/>
      <c r="C779" s="6"/>
      <c r="D779" s="6"/>
      <c r="E779" s="6"/>
      <c r="F779" s="6"/>
    </row>
    <row r="780" spans="1:6" ht="15.75" customHeight="1">
      <c r="A780" s="6"/>
      <c r="B780" s="6"/>
      <c r="C780" s="6"/>
      <c r="D780" s="6"/>
      <c r="E780" s="6"/>
      <c r="F780" s="6"/>
    </row>
    <row r="781" spans="1:6" ht="15.75" customHeight="1">
      <c r="A781" s="6"/>
      <c r="B781" s="6"/>
      <c r="C781" s="6"/>
      <c r="D781" s="6"/>
      <c r="E781" s="6"/>
      <c r="F781" s="6"/>
    </row>
    <row r="782" spans="1:6" ht="15.75" customHeight="1">
      <c r="A782" s="6"/>
      <c r="B782" s="6"/>
      <c r="C782" s="6"/>
      <c r="D782" s="6"/>
      <c r="E782" s="6"/>
      <c r="F782" s="6"/>
    </row>
    <row r="783" spans="1:6" ht="15.75" customHeight="1">
      <c r="A783" s="6"/>
      <c r="B783" s="6"/>
      <c r="C783" s="6"/>
      <c r="D783" s="6"/>
      <c r="E783" s="6"/>
      <c r="F783" s="6"/>
    </row>
    <row r="784" spans="1:6" ht="15.75" customHeight="1">
      <c r="A784" s="6"/>
      <c r="B784" s="6"/>
      <c r="C784" s="6"/>
      <c r="D784" s="6"/>
      <c r="E784" s="6"/>
      <c r="F784" s="6"/>
    </row>
    <row r="785" spans="1:6" ht="15.75" customHeight="1">
      <c r="A785" s="6"/>
      <c r="B785" s="6"/>
      <c r="C785" s="6"/>
      <c r="D785" s="6"/>
      <c r="E785" s="6"/>
      <c r="F785" s="6"/>
    </row>
    <row r="786" spans="1:6" ht="15.75" customHeight="1">
      <c r="A786" s="6"/>
      <c r="B786" s="6"/>
      <c r="C786" s="6"/>
      <c r="D786" s="6"/>
      <c r="E786" s="6"/>
      <c r="F786" s="6"/>
    </row>
    <row r="787" spans="1:6" ht="15.75" customHeight="1">
      <c r="A787" s="6"/>
      <c r="B787" s="6"/>
      <c r="C787" s="6"/>
      <c r="D787" s="6"/>
      <c r="E787" s="6"/>
      <c r="F787" s="6"/>
    </row>
    <row r="788" spans="1:6" ht="15.75" customHeight="1">
      <c r="A788" s="6"/>
      <c r="B788" s="6"/>
      <c r="C788" s="6"/>
      <c r="D788" s="6"/>
      <c r="E788" s="6"/>
      <c r="F788" s="6"/>
    </row>
    <row r="789" spans="1:6" ht="15.75" customHeight="1">
      <c r="A789" s="6"/>
      <c r="B789" s="6"/>
      <c r="C789" s="6"/>
      <c r="D789" s="6"/>
      <c r="E789" s="6"/>
      <c r="F789" s="6"/>
    </row>
    <row r="790" spans="1:6" ht="15.75" customHeight="1">
      <c r="A790" s="6"/>
      <c r="B790" s="6"/>
      <c r="C790" s="6"/>
      <c r="D790" s="6"/>
      <c r="E790" s="6"/>
      <c r="F790" s="6"/>
    </row>
    <row r="791" spans="1:6" ht="15.75" customHeight="1">
      <c r="A791" s="6"/>
      <c r="B791" s="6"/>
      <c r="C791" s="6"/>
      <c r="D791" s="6"/>
      <c r="E791" s="6"/>
      <c r="F791" s="6"/>
    </row>
    <row r="792" spans="1:6" ht="15.75" customHeight="1">
      <c r="A792" s="6"/>
      <c r="B792" s="6"/>
      <c r="C792" s="6"/>
      <c r="D792" s="6"/>
      <c r="E792" s="6"/>
      <c r="F792" s="6"/>
    </row>
    <row r="793" spans="1:6" ht="15.75" customHeight="1">
      <c r="A793" s="6"/>
      <c r="B793" s="6"/>
      <c r="C793" s="6"/>
      <c r="D793" s="6"/>
      <c r="E793" s="6"/>
      <c r="F793" s="6"/>
    </row>
    <row r="794" spans="1:6" ht="15.75" customHeight="1">
      <c r="A794" s="6"/>
      <c r="B794" s="6"/>
      <c r="C794" s="6"/>
      <c r="D794" s="6"/>
      <c r="E794" s="6"/>
      <c r="F794" s="6"/>
    </row>
    <row r="795" spans="1:6" ht="15.75" customHeight="1">
      <c r="A795" s="6"/>
      <c r="B795" s="6"/>
      <c r="C795" s="6"/>
      <c r="D795" s="6"/>
      <c r="E795" s="6"/>
      <c r="F795" s="6"/>
    </row>
    <row r="796" spans="1:6" ht="15.75" customHeight="1">
      <c r="A796" s="6"/>
      <c r="B796" s="6"/>
      <c r="C796" s="6"/>
      <c r="D796" s="6"/>
      <c r="E796" s="6"/>
      <c r="F796" s="6"/>
    </row>
    <row r="797" spans="1:6" ht="15.75" customHeight="1">
      <c r="A797" s="6"/>
      <c r="B797" s="6"/>
      <c r="C797" s="6"/>
      <c r="D797" s="6"/>
      <c r="E797" s="6"/>
      <c r="F797" s="6"/>
    </row>
    <row r="798" spans="1:6" ht="15.75" customHeight="1">
      <c r="A798" s="6"/>
      <c r="B798" s="6"/>
      <c r="C798" s="6"/>
      <c r="D798" s="6"/>
      <c r="E798" s="6"/>
      <c r="F798" s="6"/>
    </row>
    <row r="799" spans="1:6" ht="15.75" customHeight="1">
      <c r="A799" s="6"/>
      <c r="B799" s="6"/>
      <c r="C799" s="6"/>
      <c r="D799" s="6"/>
      <c r="E799" s="6"/>
      <c r="F799" s="6"/>
    </row>
    <row r="800" spans="1:6" ht="15.75" customHeight="1">
      <c r="A800" s="6"/>
      <c r="B800" s="6"/>
      <c r="C800" s="6"/>
      <c r="D800" s="6"/>
      <c r="E800" s="6"/>
      <c r="F800" s="6"/>
    </row>
    <row r="801" spans="1:6" ht="15.75" customHeight="1">
      <c r="A801" s="6"/>
      <c r="B801" s="6"/>
      <c r="C801" s="6"/>
      <c r="D801" s="6"/>
      <c r="E801" s="6"/>
      <c r="F801" s="6"/>
    </row>
    <row r="802" spans="1:6" ht="15.75" customHeight="1">
      <c r="A802" s="6"/>
      <c r="B802" s="6"/>
      <c r="C802" s="6"/>
      <c r="D802" s="6"/>
      <c r="E802" s="6"/>
      <c r="F802" s="6"/>
    </row>
    <row r="803" spans="1:6" ht="15.75" customHeight="1">
      <c r="A803" s="6"/>
      <c r="B803" s="6"/>
      <c r="C803" s="6"/>
      <c r="D803" s="6"/>
      <c r="E803" s="6"/>
      <c r="F803" s="6"/>
    </row>
    <row r="804" spans="1:6" ht="15.75" customHeight="1">
      <c r="A804" s="6"/>
      <c r="B804" s="6"/>
      <c r="C804" s="6"/>
      <c r="D804" s="6"/>
      <c r="E804" s="6"/>
      <c r="F804" s="6"/>
    </row>
    <row r="805" spans="1:6" ht="15.75" customHeight="1">
      <c r="A805" s="6"/>
      <c r="B805" s="6"/>
      <c r="C805" s="6"/>
      <c r="D805" s="6"/>
      <c r="E805" s="6"/>
      <c r="F805" s="6"/>
    </row>
    <row r="806" spans="1:6" ht="15.75" customHeight="1">
      <c r="A806" s="6"/>
      <c r="B806" s="6"/>
      <c r="C806" s="6"/>
      <c r="D806" s="6"/>
      <c r="E806" s="6"/>
      <c r="F806" s="6"/>
    </row>
    <row r="807" spans="1:6" ht="15.75" customHeight="1">
      <c r="A807" s="6"/>
      <c r="B807" s="6"/>
      <c r="C807" s="6"/>
      <c r="D807" s="6"/>
      <c r="E807" s="6"/>
      <c r="F807" s="6"/>
    </row>
    <row r="808" spans="1:6" ht="15.75" customHeight="1">
      <c r="A808" s="6"/>
      <c r="B808" s="6"/>
      <c r="C808" s="6"/>
      <c r="D808" s="6"/>
      <c r="E808" s="6"/>
      <c r="F808" s="6"/>
    </row>
    <row r="809" spans="1:6" ht="15.75" customHeight="1">
      <c r="A809" s="6"/>
      <c r="B809" s="6"/>
      <c r="C809" s="6"/>
      <c r="D809" s="6"/>
      <c r="E809" s="6"/>
      <c r="F809" s="6"/>
    </row>
    <row r="810" spans="1:6" ht="15.75" customHeight="1">
      <c r="A810" s="6"/>
      <c r="B810" s="6"/>
      <c r="C810" s="6"/>
      <c r="D810" s="6"/>
      <c r="E810" s="6"/>
      <c r="F810" s="6"/>
    </row>
    <row r="811" spans="1:6" ht="15.75" customHeight="1">
      <c r="A811" s="6"/>
      <c r="B811" s="6"/>
      <c r="C811" s="6"/>
      <c r="D811" s="6"/>
      <c r="E811" s="6"/>
      <c r="F811" s="6"/>
    </row>
    <row r="812" spans="1:6" ht="15.75" customHeight="1">
      <c r="A812" s="6"/>
      <c r="B812" s="6"/>
      <c r="C812" s="6"/>
      <c r="D812" s="6"/>
      <c r="E812" s="6"/>
      <c r="F812" s="6"/>
    </row>
    <row r="813" spans="1:6" ht="15.75" customHeight="1">
      <c r="A813" s="6"/>
      <c r="B813" s="6"/>
      <c r="C813" s="6"/>
      <c r="D813" s="6"/>
      <c r="E813" s="6"/>
      <c r="F813" s="6"/>
    </row>
    <row r="814" spans="1:6" ht="15.75" customHeight="1">
      <c r="A814" s="6"/>
      <c r="B814" s="6"/>
      <c r="C814" s="6"/>
      <c r="D814" s="6"/>
      <c r="E814" s="6"/>
      <c r="F814" s="6"/>
    </row>
    <row r="815" spans="1:6" ht="15.75" customHeight="1">
      <c r="A815" s="6"/>
      <c r="B815" s="6"/>
      <c r="C815" s="6"/>
      <c r="D815" s="6"/>
      <c r="E815" s="6"/>
      <c r="F815" s="6"/>
    </row>
    <row r="816" spans="1:6" ht="15.75" customHeight="1">
      <c r="A816" s="6"/>
      <c r="B816" s="6"/>
      <c r="C816" s="6"/>
      <c r="D816" s="6"/>
      <c r="E816" s="6"/>
      <c r="F816" s="6"/>
    </row>
    <row r="817" spans="1:6" ht="15.75" customHeight="1">
      <c r="A817" s="6"/>
      <c r="B817" s="6"/>
      <c r="C817" s="6"/>
      <c r="D817" s="6"/>
      <c r="E817" s="6"/>
      <c r="F817" s="6"/>
    </row>
    <row r="818" spans="1:6" ht="15.75" customHeight="1">
      <c r="A818" s="6"/>
      <c r="B818" s="6"/>
      <c r="C818" s="6"/>
      <c r="D818" s="6"/>
      <c r="E818" s="6"/>
      <c r="F818" s="6"/>
    </row>
    <row r="819" spans="1:6" ht="15.75" customHeight="1">
      <c r="A819" s="6"/>
      <c r="B819" s="6"/>
      <c r="C819" s="6"/>
      <c r="D819" s="6"/>
      <c r="E819" s="6"/>
      <c r="F819" s="6"/>
    </row>
    <row r="820" spans="1:6" ht="15.75" customHeight="1">
      <c r="A820" s="6"/>
      <c r="B820" s="6"/>
      <c r="C820" s="6"/>
      <c r="D820" s="6"/>
      <c r="E820" s="6"/>
      <c r="F820" s="6"/>
    </row>
    <row r="821" spans="1:6" ht="15.75" customHeight="1">
      <c r="A821" s="6"/>
      <c r="B821" s="6"/>
      <c r="C821" s="6"/>
      <c r="D821" s="6"/>
      <c r="E821" s="6"/>
      <c r="F821" s="6"/>
    </row>
    <row r="822" spans="1:6" ht="15.75" customHeight="1">
      <c r="A822" s="6"/>
      <c r="B822" s="6"/>
      <c r="C822" s="6"/>
      <c r="D822" s="6"/>
      <c r="E822" s="6"/>
      <c r="F822" s="6"/>
    </row>
    <row r="823" spans="1:6" ht="15.75" customHeight="1">
      <c r="A823" s="6"/>
      <c r="B823" s="6"/>
      <c r="C823" s="6"/>
      <c r="D823" s="6"/>
      <c r="E823" s="6"/>
      <c r="F823" s="6"/>
    </row>
    <row r="824" spans="1:6" ht="15.75" customHeight="1">
      <c r="A824" s="6"/>
      <c r="B824" s="6"/>
      <c r="C824" s="6"/>
      <c r="D824" s="6"/>
      <c r="E824" s="6"/>
      <c r="F824" s="6"/>
    </row>
    <row r="825" spans="1:6" ht="15.75" customHeight="1">
      <c r="A825" s="6"/>
      <c r="B825" s="6"/>
      <c r="C825" s="6"/>
      <c r="D825" s="6"/>
      <c r="E825" s="6"/>
      <c r="F825" s="6"/>
    </row>
    <row r="826" spans="1:6" ht="15.75" customHeight="1">
      <c r="A826" s="6"/>
      <c r="B826" s="6"/>
      <c r="C826" s="6"/>
      <c r="D826" s="6"/>
      <c r="E826" s="6"/>
      <c r="F826" s="6"/>
    </row>
    <row r="827" spans="1:6" ht="15.75" customHeight="1">
      <c r="A827" s="6"/>
      <c r="B827" s="6"/>
      <c r="C827" s="6"/>
      <c r="D827" s="6"/>
      <c r="E827" s="6"/>
      <c r="F827" s="6"/>
    </row>
    <row r="828" spans="1:6" ht="15.75" customHeight="1">
      <c r="A828" s="6"/>
      <c r="B828" s="6"/>
      <c r="C828" s="6"/>
      <c r="D828" s="6"/>
      <c r="E828" s="6"/>
      <c r="F828" s="6"/>
    </row>
    <row r="829" spans="1:6" ht="15.75" customHeight="1">
      <c r="A829" s="6"/>
      <c r="B829" s="6"/>
      <c r="C829" s="6"/>
      <c r="D829" s="6"/>
      <c r="E829" s="6"/>
      <c r="F829" s="6"/>
    </row>
    <row r="830" spans="1:6" ht="15.75" customHeight="1">
      <c r="A830" s="6"/>
      <c r="B830" s="6"/>
      <c r="C830" s="6"/>
      <c r="D830" s="6"/>
      <c r="E830" s="6"/>
      <c r="F830" s="6"/>
    </row>
    <row r="831" spans="1:6" ht="15.75" customHeight="1">
      <c r="A831" s="6"/>
      <c r="B831" s="6"/>
      <c r="C831" s="6"/>
      <c r="D831" s="6"/>
      <c r="E831" s="6"/>
      <c r="F831" s="6"/>
    </row>
    <row r="832" spans="1:6" ht="15.75" customHeight="1">
      <c r="A832" s="6"/>
      <c r="B832" s="6"/>
      <c r="C832" s="6"/>
      <c r="D832" s="6"/>
      <c r="E832" s="6"/>
      <c r="F832" s="6"/>
    </row>
    <row r="833" spans="1:6" ht="15.75" customHeight="1">
      <c r="A833" s="6"/>
      <c r="B833" s="6"/>
      <c r="C833" s="6"/>
      <c r="D833" s="6"/>
      <c r="E833" s="6"/>
      <c r="F833" s="6"/>
    </row>
    <row r="834" spans="1:6" ht="15.75" customHeight="1">
      <c r="A834" s="6"/>
      <c r="B834" s="6"/>
      <c r="C834" s="6"/>
      <c r="D834" s="6"/>
      <c r="E834" s="6"/>
      <c r="F834" s="6"/>
    </row>
    <row r="835" spans="1:6" ht="15.75" customHeight="1">
      <c r="A835" s="6"/>
      <c r="B835" s="6"/>
      <c r="C835" s="6"/>
      <c r="D835" s="6"/>
      <c r="E835" s="6"/>
      <c r="F835" s="6"/>
    </row>
    <row r="836" spans="1:6" ht="15.75" customHeight="1">
      <c r="A836" s="6"/>
      <c r="B836" s="6"/>
      <c r="C836" s="6"/>
      <c r="D836" s="6"/>
      <c r="E836" s="6"/>
      <c r="F836" s="6"/>
    </row>
    <row r="837" spans="1:6" ht="15.75" customHeight="1">
      <c r="A837" s="6"/>
      <c r="B837" s="6"/>
      <c r="C837" s="6"/>
      <c r="D837" s="6"/>
      <c r="E837" s="6"/>
      <c r="F837" s="6"/>
    </row>
    <row r="838" spans="1:6" ht="15.75" customHeight="1">
      <c r="A838" s="6"/>
      <c r="B838" s="6"/>
      <c r="C838" s="6"/>
      <c r="D838" s="6"/>
      <c r="E838" s="6"/>
      <c r="F838" s="6"/>
    </row>
    <row r="839" spans="1:6" ht="15.75" customHeight="1">
      <c r="A839" s="6"/>
      <c r="B839" s="6"/>
      <c r="C839" s="6"/>
      <c r="D839" s="6"/>
      <c r="E839" s="6"/>
      <c r="F839" s="6"/>
    </row>
    <row r="840" spans="1:6" ht="15.75" customHeight="1">
      <c r="A840" s="6"/>
      <c r="B840" s="6"/>
      <c r="C840" s="6"/>
      <c r="D840" s="6"/>
      <c r="E840" s="6"/>
      <c r="F840" s="6"/>
    </row>
    <row r="841" spans="1:6" ht="15.75" customHeight="1">
      <c r="A841" s="6"/>
      <c r="B841" s="6"/>
      <c r="C841" s="6"/>
      <c r="D841" s="6"/>
      <c r="E841" s="6"/>
      <c r="F841" s="6"/>
    </row>
    <row r="842" spans="1:6" ht="15.75" customHeight="1">
      <c r="A842" s="6"/>
      <c r="B842" s="6"/>
      <c r="C842" s="6"/>
      <c r="D842" s="6"/>
      <c r="E842" s="6"/>
      <c r="F842" s="6"/>
    </row>
    <row r="843" spans="1:6" ht="15.75" customHeight="1">
      <c r="A843" s="6"/>
      <c r="B843" s="6"/>
      <c r="C843" s="6"/>
      <c r="D843" s="6"/>
      <c r="E843" s="6"/>
      <c r="F843" s="6"/>
    </row>
    <row r="844" spans="1:6" ht="15.75" customHeight="1">
      <c r="A844" s="6"/>
      <c r="B844" s="6"/>
      <c r="C844" s="6"/>
      <c r="D844" s="6"/>
      <c r="E844" s="6"/>
      <c r="F844" s="6"/>
    </row>
    <row r="845" spans="1:6" ht="15.75" customHeight="1">
      <c r="A845" s="6"/>
      <c r="B845" s="6"/>
      <c r="C845" s="6"/>
      <c r="D845" s="6"/>
      <c r="E845" s="6"/>
      <c r="F845" s="6"/>
    </row>
    <row r="846" spans="1:6" ht="15.75" customHeight="1">
      <c r="A846" s="6"/>
      <c r="B846" s="6"/>
      <c r="C846" s="6"/>
      <c r="D846" s="6"/>
      <c r="E846" s="6"/>
      <c r="F846" s="6"/>
    </row>
    <row r="847" spans="1:6" ht="15.75" customHeight="1">
      <c r="A847" s="6"/>
      <c r="B847" s="6"/>
      <c r="C847" s="6"/>
      <c r="D847" s="6"/>
      <c r="E847" s="6"/>
      <c r="F847" s="6"/>
    </row>
    <row r="848" spans="1:6" ht="15.75" customHeight="1">
      <c r="A848" s="6"/>
      <c r="B848" s="6"/>
      <c r="C848" s="6"/>
      <c r="D848" s="6"/>
      <c r="E848" s="6"/>
      <c r="F848" s="6"/>
    </row>
    <row r="849" spans="1:6" ht="15.75" customHeight="1">
      <c r="A849" s="6"/>
      <c r="B849" s="6"/>
      <c r="C849" s="6"/>
      <c r="D849" s="6"/>
      <c r="E849" s="6"/>
      <c r="F849" s="6"/>
    </row>
    <row r="850" spans="1:6" ht="15.75" customHeight="1">
      <c r="A850" s="6"/>
      <c r="B850" s="6"/>
      <c r="C850" s="6"/>
      <c r="D850" s="6"/>
      <c r="E850" s="6"/>
      <c r="F850" s="6"/>
    </row>
    <row r="851" spans="1:6" ht="15.75" customHeight="1">
      <c r="A851" s="6"/>
      <c r="B851" s="6"/>
      <c r="C851" s="6"/>
      <c r="D851" s="6"/>
      <c r="E851" s="6"/>
      <c r="F851" s="6"/>
    </row>
    <row r="852" spans="1:6" ht="15.75" customHeight="1">
      <c r="A852" s="6"/>
      <c r="B852" s="6"/>
      <c r="C852" s="6"/>
      <c r="D852" s="6"/>
      <c r="E852" s="6"/>
      <c r="F852" s="6"/>
    </row>
    <row r="853" spans="1:6" ht="15.75" customHeight="1">
      <c r="A853" s="6"/>
      <c r="B853" s="6"/>
      <c r="C853" s="6"/>
      <c r="D853" s="6"/>
      <c r="E853" s="6"/>
      <c r="F853" s="6"/>
    </row>
    <row r="854" spans="1:6" ht="15.75" customHeight="1">
      <c r="A854" s="6"/>
      <c r="B854" s="6"/>
      <c r="C854" s="6"/>
      <c r="D854" s="6"/>
      <c r="E854" s="6"/>
      <c r="F854" s="6"/>
    </row>
    <row r="855" spans="1:6" ht="15.75" customHeight="1">
      <c r="A855" s="6"/>
      <c r="B855" s="6"/>
      <c r="C855" s="6"/>
      <c r="D855" s="6"/>
      <c r="E855" s="6"/>
      <c r="F855" s="6"/>
    </row>
    <row r="856" spans="1:6" ht="15.75" customHeight="1">
      <c r="A856" s="6"/>
      <c r="B856" s="6"/>
      <c r="C856" s="6"/>
      <c r="D856" s="6"/>
      <c r="E856" s="6"/>
      <c r="F856" s="6"/>
    </row>
    <row r="857" spans="1:6" ht="15.75" customHeight="1">
      <c r="A857" s="6"/>
      <c r="B857" s="6"/>
      <c r="C857" s="6"/>
      <c r="D857" s="6"/>
      <c r="E857" s="6"/>
      <c r="F857" s="6"/>
    </row>
    <row r="858" spans="1:6" ht="15.75" customHeight="1">
      <c r="A858" s="6"/>
      <c r="B858" s="6"/>
      <c r="C858" s="6"/>
      <c r="D858" s="6"/>
      <c r="E858" s="6"/>
      <c r="F858" s="6"/>
    </row>
    <row r="859" spans="1:6" ht="15.75" customHeight="1">
      <c r="A859" s="6"/>
      <c r="B859" s="6"/>
      <c r="C859" s="6"/>
      <c r="D859" s="6"/>
      <c r="E859" s="6"/>
      <c r="F859" s="6"/>
    </row>
    <row r="860" spans="1:6" ht="15.75" customHeight="1">
      <c r="A860" s="6"/>
      <c r="B860" s="6"/>
      <c r="C860" s="6"/>
      <c r="D860" s="6"/>
      <c r="E860" s="6"/>
      <c r="F860" s="6"/>
    </row>
    <row r="861" spans="1:6" ht="15.75" customHeight="1">
      <c r="A861" s="6"/>
      <c r="B861" s="6"/>
      <c r="C861" s="6"/>
      <c r="D861" s="6"/>
      <c r="E861" s="6"/>
      <c r="F861" s="6"/>
    </row>
    <row r="862" spans="1:6" ht="15.75" customHeight="1">
      <c r="A862" s="6"/>
      <c r="B862" s="6"/>
      <c r="C862" s="6"/>
      <c r="D862" s="6"/>
      <c r="E862" s="6"/>
      <c r="F862" s="6"/>
    </row>
    <row r="863" spans="1:6" ht="15.75" customHeight="1">
      <c r="A863" s="6"/>
      <c r="B863" s="6"/>
      <c r="C863" s="6"/>
      <c r="D863" s="6"/>
      <c r="E863" s="6"/>
      <c r="F863" s="6"/>
    </row>
    <row r="864" spans="1:6" ht="15.75" customHeight="1">
      <c r="A864" s="6"/>
      <c r="B864" s="6"/>
      <c r="C864" s="6"/>
      <c r="D864" s="6"/>
      <c r="E864" s="6"/>
      <c r="F864" s="6"/>
    </row>
    <row r="865" spans="1:6" ht="15.75" customHeight="1">
      <c r="A865" s="6"/>
      <c r="B865" s="6"/>
      <c r="C865" s="6"/>
      <c r="D865" s="6"/>
      <c r="E865" s="6"/>
      <c r="F865" s="6"/>
    </row>
    <row r="866" spans="1:6" ht="15.75" customHeight="1">
      <c r="A866" s="6"/>
      <c r="B866" s="6"/>
      <c r="C866" s="6"/>
      <c r="D866" s="6"/>
      <c r="E866" s="6"/>
      <c r="F866" s="6"/>
    </row>
    <row r="867" spans="1:6" ht="15.75" customHeight="1">
      <c r="A867" s="6"/>
      <c r="B867" s="6"/>
      <c r="C867" s="6"/>
      <c r="D867" s="6"/>
      <c r="E867" s="6"/>
      <c r="F867" s="6"/>
    </row>
    <row r="868" spans="1:6" ht="15.75" customHeight="1">
      <c r="A868" s="6"/>
      <c r="B868" s="6"/>
      <c r="C868" s="6"/>
      <c r="D868" s="6"/>
      <c r="E868" s="6"/>
      <c r="F868" s="6"/>
    </row>
    <row r="869" spans="1:6" ht="15.75" customHeight="1">
      <c r="A869" s="6"/>
      <c r="B869" s="6"/>
      <c r="C869" s="6"/>
      <c r="D869" s="6"/>
      <c r="E869" s="6"/>
      <c r="F869" s="6"/>
    </row>
    <row r="870" spans="1:6" ht="15.75" customHeight="1">
      <c r="A870" s="6"/>
      <c r="B870" s="6"/>
      <c r="C870" s="6"/>
      <c r="D870" s="6"/>
      <c r="E870" s="6"/>
      <c r="F870" s="6"/>
    </row>
    <row r="871" spans="1:6" ht="15.75" customHeight="1">
      <c r="A871" s="6"/>
      <c r="B871" s="6"/>
      <c r="C871" s="6"/>
      <c r="D871" s="6"/>
      <c r="E871" s="6"/>
      <c r="F871" s="6"/>
    </row>
    <row r="872" spans="1:6" ht="15.75" customHeight="1">
      <c r="A872" s="6"/>
      <c r="B872" s="6"/>
      <c r="C872" s="6"/>
      <c r="D872" s="6"/>
      <c r="E872" s="6"/>
      <c r="F872" s="6"/>
    </row>
    <row r="873" spans="1:6" ht="15.75" customHeight="1">
      <c r="A873" s="6"/>
      <c r="B873" s="6"/>
      <c r="C873" s="6"/>
      <c r="D873" s="6"/>
      <c r="E873" s="6"/>
      <c r="F873" s="6"/>
    </row>
    <row r="874" spans="1:6" ht="15.75" customHeight="1">
      <c r="A874" s="6"/>
      <c r="B874" s="6"/>
      <c r="C874" s="6"/>
      <c r="D874" s="6"/>
      <c r="E874" s="6"/>
      <c r="F874" s="6"/>
    </row>
    <row r="875" spans="1:6" ht="15.75" customHeight="1">
      <c r="A875" s="6"/>
      <c r="B875" s="6"/>
      <c r="C875" s="6"/>
      <c r="D875" s="6"/>
      <c r="E875" s="6"/>
      <c r="F875" s="6"/>
    </row>
    <row r="876" spans="1:6" ht="15.75" customHeight="1">
      <c r="A876" s="6"/>
      <c r="B876" s="6"/>
      <c r="C876" s="6"/>
      <c r="D876" s="6"/>
      <c r="E876" s="6"/>
      <c r="F876" s="6"/>
    </row>
    <row r="877" spans="1:6" ht="15.75" customHeight="1">
      <c r="A877" s="6"/>
      <c r="B877" s="6"/>
      <c r="C877" s="6"/>
      <c r="D877" s="6"/>
      <c r="E877" s="6"/>
      <c r="F877" s="6"/>
    </row>
    <row r="878" spans="1:6" ht="15.75" customHeight="1">
      <c r="A878" s="6"/>
      <c r="B878" s="6"/>
      <c r="C878" s="6"/>
      <c r="D878" s="6"/>
      <c r="E878" s="6"/>
      <c r="F878" s="6"/>
    </row>
    <row r="879" spans="1:6" ht="15.75" customHeight="1">
      <c r="A879" s="6"/>
      <c r="B879" s="6"/>
      <c r="C879" s="6"/>
      <c r="D879" s="6"/>
      <c r="E879" s="6"/>
      <c r="F879" s="6"/>
    </row>
    <row r="880" spans="1:6" ht="15.75" customHeight="1">
      <c r="A880" s="6"/>
      <c r="B880" s="6"/>
      <c r="C880" s="6"/>
      <c r="D880" s="6"/>
      <c r="E880" s="6"/>
      <c r="F880" s="6"/>
    </row>
    <row r="881" spans="1:6" ht="15.75" customHeight="1">
      <c r="A881" s="6"/>
      <c r="B881" s="6"/>
      <c r="C881" s="6"/>
      <c r="D881" s="6"/>
      <c r="E881" s="6"/>
      <c r="F881" s="6"/>
    </row>
    <row r="882" spans="1:6" ht="15.75" customHeight="1">
      <c r="A882" s="6"/>
      <c r="B882" s="6"/>
      <c r="C882" s="6"/>
      <c r="D882" s="6"/>
      <c r="E882" s="6"/>
      <c r="F882" s="6"/>
    </row>
    <row r="883" spans="1:6" ht="15.75" customHeight="1">
      <c r="A883" s="6"/>
      <c r="B883" s="6"/>
      <c r="C883" s="6"/>
      <c r="D883" s="6"/>
      <c r="E883" s="6"/>
      <c r="F883" s="6"/>
    </row>
    <row r="884" spans="1:6" ht="15.75" customHeight="1">
      <c r="A884" s="6"/>
      <c r="B884" s="6"/>
      <c r="C884" s="6"/>
      <c r="D884" s="6"/>
      <c r="E884" s="6"/>
      <c r="F884" s="6"/>
    </row>
    <row r="885" spans="1:6" ht="15.75" customHeight="1">
      <c r="A885" s="6"/>
      <c r="B885" s="6"/>
      <c r="C885" s="6"/>
      <c r="D885" s="6"/>
      <c r="E885" s="6"/>
      <c r="F885" s="6"/>
    </row>
    <row r="886" spans="1:6" ht="15.75" customHeight="1">
      <c r="A886" s="6"/>
      <c r="B886" s="6"/>
      <c r="C886" s="6"/>
      <c r="D886" s="6"/>
      <c r="E886" s="6"/>
      <c r="F886" s="6"/>
    </row>
    <row r="887" spans="1:6" ht="15.75" customHeight="1">
      <c r="A887" s="6"/>
      <c r="B887" s="6"/>
      <c r="C887" s="6"/>
      <c r="D887" s="6"/>
      <c r="E887" s="6"/>
      <c r="F887" s="6"/>
    </row>
    <row r="888" spans="1:6" ht="15.75" customHeight="1">
      <c r="A888" s="6"/>
      <c r="B888" s="6"/>
      <c r="C888" s="6"/>
      <c r="D888" s="6"/>
      <c r="E888" s="6"/>
      <c r="F888" s="6"/>
    </row>
    <row r="889" spans="1:6" ht="15.75" customHeight="1">
      <c r="A889" s="6"/>
      <c r="B889" s="6"/>
      <c r="C889" s="6"/>
      <c r="D889" s="6"/>
      <c r="E889" s="6"/>
      <c r="F889" s="6"/>
    </row>
    <row r="890" spans="1:6" ht="15.75" customHeight="1">
      <c r="A890" s="6"/>
      <c r="B890" s="6"/>
      <c r="C890" s="6"/>
      <c r="D890" s="6"/>
      <c r="E890" s="6"/>
      <c r="F890" s="6"/>
    </row>
    <row r="891" spans="1:6" ht="15.75" customHeight="1">
      <c r="A891" s="6"/>
      <c r="B891" s="6"/>
      <c r="C891" s="6"/>
      <c r="D891" s="6"/>
      <c r="E891" s="6"/>
      <c r="F891" s="6"/>
    </row>
    <row r="892" spans="1:6" ht="15.75" customHeight="1">
      <c r="A892" s="6"/>
      <c r="B892" s="6"/>
      <c r="C892" s="6"/>
      <c r="D892" s="6"/>
      <c r="E892" s="6"/>
      <c r="F892" s="6"/>
    </row>
    <row r="893" spans="1:6" ht="15.75" customHeight="1">
      <c r="A893" s="6"/>
      <c r="B893" s="6"/>
      <c r="C893" s="6"/>
      <c r="D893" s="6"/>
      <c r="E893" s="6"/>
      <c r="F893" s="6"/>
    </row>
    <row r="894" spans="1:6" ht="15.75" customHeight="1">
      <c r="A894" s="6"/>
      <c r="B894" s="6"/>
      <c r="C894" s="6"/>
      <c r="D894" s="6"/>
      <c r="E894" s="6"/>
      <c r="F894" s="6"/>
    </row>
    <row r="895" spans="1:6" ht="15.75" customHeight="1">
      <c r="A895" s="6"/>
      <c r="B895" s="6"/>
      <c r="C895" s="6"/>
      <c r="D895" s="6"/>
      <c r="E895" s="6"/>
      <c r="F895" s="6"/>
    </row>
    <row r="896" spans="1:6" ht="15.75" customHeight="1">
      <c r="A896" s="6"/>
      <c r="B896" s="6"/>
      <c r="C896" s="6"/>
      <c r="D896" s="6"/>
      <c r="E896" s="6"/>
      <c r="F896" s="6"/>
    </row>
    <row r="897" spans="1:6" ht="15.75" customHeight="1">
      <c r="A897" s="6"/>
      <c r="B897" s="6"/>
      <c r="C897" s="6"/>
      <c r="D897" s="6"/>
      <c r="E897" s="6"/>
      <c r="F897" s="6"/>
    </row>
    <row r="898" spans="1:6" ht="15.75" customHeight="1">
      <c r="A898" s="6"/>
      <c r="B898" s="6"/>
      <c r="C898" s="6"/>
      <c r="D898" s="6"/>
      <c r="E898" s="6"/>
      <c r="F898" s="6"/>
    </row>
    <row r="899" spans="1:6" ht="15.75" customHeight="1">
      <c r="A899" s="6"/>
      <c r="B899" s="6"/>
      <c r="C899" s="6"/>
      <c r="D899" s="6"/>
      <c r="E899" s="6"/>
      <c r="F899" s="6"/>
    </row>
    <row r="900" spans="1:6" ht="15.75" customHeight="1">
      <c r="A900" s="6"/>
      <c r="B900" s="6"/>
      <c r="C900" s="6"/>
      <c r="D900" s="6"/>
      <c r="E900" s="6"/>
      <c r="F900" s="6"/>
    </row>
    <row r="901" spans="1:6" ht="15.75" customHeight="1">
      <c r="A901" s="6"/>
      <c r="B901" s="6"/>
      <c r="C901" s="6"/>
      <c r="D901" s="6"/>
      <c r="E901" s="6"/>
      <c r="F901" s="6"/>
    </row>
    <row r="902" spans="1:6" ht="15.75" customHeight="1">
      <c r="A902" s="6"/>
      <c r="B902" s="6"/>
      <c r="C902" s="6"/>
      <c r="D902" s="6"/>
      <c r="E902" s="6"/>
      <c r="F902" s="6"/>
    </row>
    <row r="903" spans="1:6" ht="15.75" customHeight="1">
      <c r="A903" s="6"/>
      <c r="B903" s="6"/>
      <c r="C903" s="6"/>
      <c r="D903" s="6"/>
      <c r="E903" s="6"/>
      <c r="F903" s="6"/>
    </row>
    <row r="904" spans="1:6" ht="15.75" customHeight="1">
      <c r="A904" s="6"/>
      <c r="B904" s="6"/>
      <c r="C904" s="6"/>
      <c r="D904" s="6"/>
      <c r="E904" s="6"/>
      <c r="F904" s="6"/>
    </row>
    <row r="905" spans="1:6" ht="15.75" customHeight="1">
      <c r="A905" s="6"/>
      <c r="B905" s="6"/>
      <c r="C905" s="6"/>
      <c r="D905" s="6"/>
      <c r="E905" s="6"/>
      <c r="F905" s="6"/>
    </row>
    <row r="906" spans="1:6" ht="15.75" customHeight="1">
      <c r="A906" s="6"/>
      <c r="B906" s="6"/>
      <c r="C906" s="6"/>
      <c r="D906" s="6"/>
      <c r="E906" s="6"/>
      <c r="F906" s="6"/>
    </row>
    <row r="907" spans="1:6" ht="15.75" customHeight="1">
      <c r="A907" s="6"/>
      <c r="B907" s="6"/>
      <c r="C907" s="6"/>
      <c r="D907" s="6"/>
      <c r="E907" s="6"/>
      <c r="F907" s="6"/>
    </row>
    <row r="908" spans="1:6" ht="15.75" customHeight="1">
      <c r="A908" s="6"/>
      <c r="B908" s="6"/>
      <c r="C908" s="6"/>
      <c r="D908" s="6"/>
      <c r="E908" s="6"/>
      <c r="F908" s="6"/>
    </row>
    <row r="909" spans="1:6" ht="15.75" customHeight="1">
      <c r="A909" s="6"/>
      <c r="B909" s="6"/>
      <c r="C909" s="6"/>
      <c r="D909" s="6"/>
      <c r="E909" s="6"/>
      <c r="F909" s="6"/>
    </row>
    <row r="910" spans="1:6" ht="15.75" customHeight="1">
      <c r="A910" s="6"/>
      <c r="B910" s="6"/>
      <c r="C910" s="6"/>
      <c r="D910" s="6"/>
      <c r="E910" s="6"/>
      <c r="F910" s="6"/>
    </row>
    <row r="911" spans="1:6" ht="15.75" customHeight="1">
      <c r="A911" s="6"/>
      <c r="B911" s="6"/>
      <c r="C911" s="6"/>
      <c r="D911" s="6"/>
      <c r="E911" s="6"/>
      <c r="F911" s="6"/>
    </row>
    <row r="912" spans="1:6" ht="15.75" customHeight="1">
      <c r="A912" s="6"/>
      <c r="B912" s="6"/>
      <c r="C912" s="6"/>
      <c r="D912" s="6"/>
      <c r="E912" s="6"/>
      <c r="F912" s="6"/>
    </row>
    <row r="913" spans="1:6" ht="15.75" customHeight="1">
      <c r="A913" s="6"/>
      <c r="B913" s="6"/>
      <c r="C913" s="6"/>
      <c r="D913" s="6"/>
      <c r="E913" s="6"/>
      <c r="F913" s="6"/>
    </row>
    <row r="914" spans="1:6" ht="15.75" customHeight="1">
      <c r="A914" s="6"/>
      <c r="B914" s="6"/>
      <c r="C914" s="6"/>
      <c r="D914" s="6"/>
      <c r="E914" s="6"/>
      <c r="F914" s="6"/>
    </row>
    <row r="915" spans="1:6" ht="15.75" customHeight="1">
      <c r="A915" s="6"/>
      <c r="B915" s="6"/>
      <c r="C915" s="6"/>
      <c r="D915" s="6"/>
      <c r="E915" s="6"/>
      <c r="F915" s="6"/>
    </row>
    <row r="916" spans="1:6" ht="15.75" customHeight="1">
      <c r="A916" s="6"/>
      <c r="B916" s="6"/>
      <c r="C916" s="6"/>
      <c r="D916" s="6"/>
      <c r="E916" s="6"/>
      <c r="F916" s="6"/>
    </row>
    <row r="917" spans="1:6" ht="15.75" customHeight="1">
      <c r="A917" s="6"/>
      <c r="B917" s="6"/>
      <c r="C917" s="6"/>
      <c r="D917" s="6"/>
      <c r="E917" s="6"/>
      <c r="F917" s="6"/>
    </row>
    <row r="918" spans="1:6" ht="15.75" customHeight="1">
      <c r="A918" s="6"/>
      <c r="B918" s="6"/>
      <c r="C918" s="6"/>
      <c r="D918" s="6"/>
      <c r="E918" s="6"/>
      <c r="F918" s="6"/>
    </row>
    <row r="919" spans="1:6" ht="15.75" customHeight="1">
      <c r="A919" s="6"/>
      <c r="B919" s="6"/>
      <c r="C919" s="6"/>
      <c r="D919" s="6"/>
      <c r="E919" s="6"/>
      <c r="F919" s="6"/>
    </row>
    <row r="920" spans="1:6" ht="15.75" customHeight="1">
      <c r="A920" s="6"/>
      <c r="B920" s="6"/>
      <c r="C920" s="6"/>
      <c r="D920" s="6"/>
      <c r="E920" s="6"/>
      <c r="F920" s="6"/>
    </row>
    <row r="921" spans="1:6" ht="15.75" customHeight="1">
      <c r="A921" s="6"/>
      <c r="B921" s="6"/>
      <c r="C921" s="6"/>
      <c r="D921" s="6"/>
      <c r="E921" s="6"/>
      <c r="F921" s="6"/>
    </row>
    <row r="922" spans="1:6" ht="15.75" customHeight="1">
      <c r="A922" s="6"/>
      <c r="B922" s="6"/>
      <c r="C922" s="6"/>
      <c r="D922" s="6"/>
      <c r="E922" s="6"/>
      <c r="F922" s="6"/>
    </row>
    <row r="923" spans="1:6" ht="15.75" customHeight="1">
      <c r="A923" s="6"/>
      <c r="B923" s="6"/>
      <c r="C923" s="6"/>
      <c r="D923" s="6"/>
      <c r="E923" s="6"/>
      <c r="F923" s="6"/>
    </row>
    <row r="924" spans="1:6" ht="15.75" customHeight="1">
      <c r="A924" s="6"/>
      <c r="B924" s="6"/>
      <c r="C924" s="6"/>
      <c r="D924" s="6"/>
      <c r="E924" s="6"/>
      <c r="F924" s="6"/>
    </row>
    <row r="925" spans="1:6" ht="15.75" customHeight="1">
      <c r="A925" s="6"/>
      <c r="B925" s="6"/>
      <c r="C925" s="6"/>
      <c r="D925" s="6"/>
      <c r="E925" s="6"/>
      <c r="F925" s="6"/>
    </row>
    <row r="926" spans="1:6" ht="15.75" customHeight="1">
      <c r="A926" s="6"/>
      <c r="B926" s="6"/>
      <c r="C926" s="6"/>
      <c r="D926" s="6"/>
      <c r="E926" s="6"/>
      <c r="F926" s="6"/>
    </row>
    <row r="927" spans="1:6" ht="15.75" customHeight="1">
      <c r="A927" s="6"/>
      <c r="B927" s="6"/>
      <c r="C927" s="6"/>
      <c r="D927" s="6"/>
      <c r="E927" s="6"/>
      <c r="F927" s="6"/>
    </row>
    <row r="928" spans="1:6" ht="15.75" customHeight="1">
      <c r="A928" s="6"/>
      <c r="B928" s="6"/>
      <c r="C928" s="6"/>
      <c r="D928" s="6"/>
      <c r="E928" s="6"/>
      <c r="F928" s="6"/>
    </row>
    <row r="929" spans="1:6" ht="15.75" customHeight="1">
      <c r="A929" s="6"/>
      <c r="B929" s="6"/>
      <c r="C929" s="6"/>
      <c r="D929" s="6"/>
      <c r="E929" s="6"/>
      <c r="F929" s="6"/>
    </row>
    <row r="930" spans="1:6" ht="15.75" customHeight="1">
      <c r="A930" s="6"/>
      <c r="B930" s="6"/>
      <c r="C930" s="6"/>
      <c r="D930" s="6"/>
      <c r="E930" s="6"/>
      <c r="F930" s="6"/>
    </row>
    <row r="931" spans="1:6" ht="15.75" customHeight="1">
      <c r="A931" s="6"/>
      <c r="B931" s="6"/>
      <c r="C931" s="6"/>
      <c r="D931" s="6"/>
      <c r="E931" s="6"/>
      <c r="F931" s="6"/>
    </row>
    <row r="932" spans="1:6" ht="15.75" customHeight="1">
      <c r="A932" s="6"/>
      <c r="B932" s="6"/>
      <c r="C932" s="6"/>
      <c r="D932" s="6"/>
      <c r="E932" s="6"/>
      <c r="F932" s="6"/>
    </row>
    <row r="933" spans="1:6" ht="15.75" customHeight="1">
      <c r="A933" s="6"/>
      <c r="B933" s="6"/>
      <c r="C933" s="6"/>
      <c r="D933" s="6"/>
      <c r="E933" s="6"/>
      <c r="F933" s="6"/>
    </row>
    <row r="934" spans="1:6" ht="15.75" customHeight="1">
      <c r="A934" s="6"/>
      <c r="B934" s="6"/>
      <c r="C934" s="6"/>
      <c r="D934" s="6"/>
      <c r="E934" s="6"/>
      <c r="F934" s="6"/>
    </row>
    <row r="935" spans="1:6" ht="15.75" customHeight="1">
      <c r="A935" s="6"/>
      <c r="B935" s="6"/>
      <c r="C935" s="6"/>
      <c r="D935" s="6"/>
      <c r="E935" s="6"/>
      <c r="F935" s="6"/>
    </row>
    <row r="936" spans="1:6" ht="15.75" customHeight="1">
      <c r="A936" s="6"/>
      <c r="B936" s="6"/>
      <c r="C936" s="6"/>
      <c r="D936" s="6"/>
      <c r="E936" s="6"/>
      <c r="F936" s="6"/>
    </row>
    <row r="937" spans="1:6" ht="15.75" customHeight="1">
      <c r="A937" s="6"/>
      <c r="B937" s="6"/>
      <c r="C937" s="6"/>
      <c r="D937" s="6"/>
      <c r="E937" s="6"/>
      <c r="F937" s="6"/>
    </row>
    <row r="938" spans="1:6" ht="15.75" customHeight="1">
      <c r="A938" s="6"/>
      <c r="B938" s="6"/>
      <c r="C938" s="6"/>
      <c r="D938" s="6"/>
      <c r="E938" s="6"/>
      <c r="F938" s="6"/>
    </row>
    <row r="939" spans="1:6" ht="15.75" customHeight="1">
      <c r="A939" s="6"/>
      <c r="B939" s="6"/>
      <c r="C939" s="6"/>
      <c r="D939" s="6"/>
      <c r="E939" s="6"/>
      <c r="F939" s="6"/>
    </row>
    <row r="940" spans="1:6" ht="15.75" customHeight="1">
      <c r="A940" s="6"/>
      <c r="B940" s="6"/>
      <c r="C940" s="6"/>
      <c r="D940" s="6"/>
      <c r="E940" s="6"/>
      <c r="F940" s="6"/>
    </row>
    <row r="941" spans="1:6" ht="15.75" customHeight="1">
      <c r="A941" s="6"/>
      <c r="B941" s="6"/>
      <c r="C941" s="6"/>
      <c r="D941" s="6"/>
      <c r="E941" s="6"/>
      <c r="F941" s="6"/>
    </row>
    <row r="942" spans="1:6" ht="15.75" customHeight="1">
      <c r="A942" s="6"/>
      <c r="B942" s="6"/>
      <c r="C942" s="6"/>
      <c r="D942" s="6"/>
      <c r="E942" s="6"/>
      <c r="F942" s="6"/>
    </row>
    <row r="943" spans="1:6" ht="15.75" customHeight="1">
      <c r="A943" s="6"/>
      <c r="B943" s="6"/>
      <c r="C943" s="6"/>
      <c r="D943" s="6"/>
      <c r="E943" s="6"/>
      <c r="F943" s="6"/>
    </row>
    <row r="944" spans="1:6" ht="15.75" customHeight="1">
      <c r="A944" s="6"/>
      <c r="B944" s="6"/>
      <c r="C944" s="6"/>
      <c r="D944" s="6"/>
      <c r="E944" s="6"/>
      <c r="F944" s="6"/>
    </row>
    <row r="945" spans="1:6" ht="15.75" customHeight="1">
      <c r="A945" s="6"/>
      <c r="B945" s="6"/>
      <c r="C945" s="6"/>
      <c r="D945" s="6"/>
      <c r="E945" s="6"/>
      <c r="F945" s="6"/>
    </row>
    <row r="946" spans="1:6" ht="15.75" customHeight="1">
      <c r="A946" s="6"/>
      <c r="B946" s="6"/>
      <c r="C946" s="6"/>
      <c r="D946" s="6"/>
      <c r="E946" s="6"/>
      <c r="F946" s="6"/>
    </row>
    <row r="947" spans="1:6" ht="15.75" customHeight="1">
      <c r="A947" s="6"/>
      <c r="B947" s="6"/>
      <c r="C947" s="6"/>
      <c r="D947" s="6"/>
      <c r="E947" s="6"/>
      <c r="F947" s="6"/>
    </row>
    <row r="948" spans="1:6" ht="15.75" customHeight="1">
      <c r="A948" s="6"/>
      <c r="B948" s="6"/>
      <c r="C948" s="6"/>
      <c r="D948" s="6"/>
      <c r="E948" s="6"/>
      <c r="F948" s="6"/>
    </row>
    <row r="949" spans="1:6" ht="15.75" customHeight="1">
      <c r="A949" s="6"/>
      <c r="B949" s="6"/>
      <c r="C949" s="6"/>
      <c r="D949" s="6"/>
      <c r="E949" s="6"/>
      <c r="F949" s="6"/>
    </row>
    <row r="950" spans="1:6" ht="15.75" customHeight="1">
      <c r="A950" s="6"/>
      <c r="B950" s="6"/>
      <c r="C950" s="6"/>
      <c r="D950" s="6"/>
      <c r="E950" s="6"/>
      <c r="F950" s="6"/>
    </row>
    <row r="951" spans="1:6" ht="15.75" customHeight="1">
      <c r="A951" s="6"/>
      <c r="B951" s="6"/>
      <c r="C951" s="6"/>
      <c r="D951" s="6"/>
      <c r="E951" s="6"/>
      <c r="F951" s="6"/>
    </row>
    <row r="952" spans="1:6" ht="15.75" customHeight="1">
      <c r="A952" s="6"/>
      <c r="B952" s="6"/>
      <c r="C952" s="6"/>
      <c r="D952" s="6"/>
      <c r="E952" s="6"/>
      <c r="F952" s="6"/>
    </row>
    <row r="953" spans="1:6" ht="15.75" customHeight="1">
      <c r="A953" s="6"/>
      <c r="B953" s="6"/>
      <c r="C953" s="6"/>
      <c r="D953" s="6"/>
      <c r="E953" s="6"/>
      <c r="F953" s="6"/>
    </row>
    <row r="954" spans="1:6" ht="15.75" customHeight="1">
      <c r="A954" s="6"/>
      <c r="B954" s="6"/>
      <c r="C954" s="6"/>
      <c r="D954" s="6"/>
      <c r="E954" s="6"/>
      <c r="F954" s="6"/>
    </row>
    <row r="955" spans="1:6" ht="15.75" customHeight="1">
      <c r="A955" s="6"/>
      <c r="B955" s="6"/>
      <c r="C955" s="6"/>
      <c r="D955" s="6"/>
      <c r="E955" s="6"/>
      <c r="F955" s="6"/>
    </row>
    <row r="956" spans="1:6" ht="15.75" customHeight="1">
      <c r="A956" s="6"/>
      <c r="B956" s="6"/>
      <c r="C956" s="6"/>
      <c r="D956" s="6"/>
      <c r="E956" s="6"/>
      <c r="F956" s="6"/>
    </row>
    <row r="957" spans="1:6" ht="15.75" customHeight="1">
      <c r="A957" s="6"/>
      <c r="B957" s="6"/>
      <c r="C957" s="6"/>
      <c r="D957" s="6"/>
      <c r="E957" s="6"/>
      <c r="F957" s="6"/>
    </row>
    <row r="958" spans="1:6" ht="15.75" customHeight="1">
      <c r="A958" s="6"/>
      <c r="B958" s="6"/>
      <c r="C958" s="6"/>
      <c r="D958" s="6"/>
      <c r="E958" s="6"/>
      <c r="F958" s="6"/>
    </row>
    <row r="959" spans="1:6" ht="15.75" customHeight="1">
      <c r="A959" s="6"/>
      <c r="B959" s="6"/>
      <c r="C959" s="6"/>
      <c r="D959" s="6"/>
      <c r="E959" s="6"/>
      <c r="F959" s="6"/>
    </row>
    <row r="960" spans="1:6" ht="15.75" customHeight="1">
      <c r="A960" s="6"/>
      <c r="B960" s="6"/>
      <c r="C960" s="6"/>
      <c r="D960" s="6"/>
      <c r="E960" s="6"/>
      <c r="F960" s="6"/>
    </row>
    <row r="961" spans="1:6" ht="15.75" customHeight="1">
      <c r="A961" s="6"/>
      <c r="B961" s="6"/>
      <c r="C961" s="6"/>
      <c r="D961" s="6"/>
      <c r="E961" s="6"/>
      <c r="F961" s="6"/>
    </row>
    <row r="962" spans="1:6" ht="15.75" customHeight="1">
      <c r="A962" s="6"/>
      <c r="B962" s="6"/>
      <c r="C962" s="6"/>
      <c r="D962" s="6"/>
      <c r="E962" s="6"/>
      <c r="F962" s="6"/>
    </row>
    <row r="963" spans="1:6" ht="15.75" customHeight="1">
      <c r="A963" s="6"/>
      <c r="B963" s="6"/>
      <c r="C963" s="6"/>
      <c r="D963" s="6"/>
      <c r="E963" s="6"/>
      <c r="F963" s="6"/>
    </row>
    <row r="964" spans="1:6" ht="15.75" customHeight="1">
      <c r="A964" s="6"/>
      <c r="B964" s="6"/>
      <c r="C964" s="6"/>
      <c r="D964" s="6"/>
      <c r="E964" s="6"/>
      <c r="F964" s="6"/>
    </row>
    <row r="965" spans="1:6" ht="15.75" customHeight="1">
      <c r="A965" s="6"/>
      <c r="B965" s="6"/>
      <c r="C965" s="6"/>
      <c r="D965" s="6"/>
      <c r="E965" s="6"/>
      <c r="F965" s="6"/>
    </row>
    <row r="966" spans="1:6" ht="15.75" customHeight="1">
      <c r="A966" s="6"/>
      <c r="B966" s="6"/>
      <c r="C966" s="6"/>
      <c r="D966" s="6"/>
      <c r="E966" s="6"/>
      <c r="F966" s="6"/>
    </row>
    <row r="967" spans="1:6" ht="15.75" customHeight="1">
      <c r="A967" s="6"/>
      <c r="B967" s="6"/>
      <c r="C967" s="6"/>
      <c r="D967" s="6"/>
      <c r="E967" s="6"/>
      <c r="F967" s="6"/>
    </row>
    <row r="968" spans="1:6" ht="15.75" customHeight="1">
      <c r="A968" s="6"/>
      <c r="B968" s="6"/>
      <c r="C968" s="6"/>
      <c r="D968" s="6"/>
      <c r="E968" s="6"/>
      <c r="F968" s="6"/>
    </row>
    <row r="969" spans="1:6" ht="15.75" customHeight="1">
      <c r="A969" s="6"/>
      <c r="B969" s="6"/>
      <c r="C969" s="6"/>
      <c r="D969" s="6"/>
      <c r="E969" s="6"/>
      <c r="F969" s="6"/>
    </row>
    <row r="970" spans="1:6" ht="15.75" customHeight="1">
      <c r="A970" s="6"/>
      <c r="B970" s="6"/>
      <c r="C970" s="6"/>
      <c r="D970" s="6"/>
      <c r="E970" s="6"/>
      <c r="F970" s="6"/>
    </row>
    <row r="971" spans="1:6" ht="15.75" customHeight="1">
      <c r="A971" s="6"/>
      <c r="B971" s="6"/>
      <c r="C971" s="6"/>
      <c r="D971" s="6"/>
      <c r="E971" s="6"/>
      <c r="F971" s="6"/>
    </row>
    <row r="972" spans="1:6" ht="15.75" customHeight="1">
      <c r="A972" s="6"/>
      <c r="B972" s="6"/>
      <c r="C972" s="6"/>
      <c r="D972" s="6"/>
      <c r="E972" s="6"/>
      <c r="F972" s="6"/>
    </row>
    <row r="973" spans="1:6" ht="15.75" customHeight="1">
      <c r="A973" s="6"/>
      <c r="B973" s="6"/>
      <c r="C973" s="6"/>
      <c r="D973" s="6"/>
      <c r="E973" s="6"/>
      <c r="F973" s="6"/>
    </row>
    <row r="974" spans="1:6" ht="15.75" customHeight="1">
      <c r="A974" s="6"/>
      <c r="B974" s="6"/>
      <c r="C974" s="6"/>
      <c r="D974" s="6"/>
      <c r="E974" s="6"/>
      <c r="F974" s="6"/>
    </row>
    <row r="975" spans="1:6" ht="15.75" customHeight="1">
      <c r="A975" s="6"/>
      <c r="B975" s="6"/>
      <c r="C975" s="6"/>
      <c r="D975" s="6"/>
      <c r="E975" s="6"/>
      <c r="F975" s="6"/>
    </row>
    <row r="976" spans="1:6" ht="15.75" customHeight="1">
      <c r="A976" s="6"/>
      <c r="B976" s="6"/>
      <c r="C976" s="6"/>
      <c r="D976" s="6"/>
      <c r="E976" s="6"/>
      <c r="F976" s="6"/>
    </row>
    <row r="977" spans="1:6" ht="15.75" customHeight="1">
      <c r="A977" s="6"/>
      <c r="B977" s="6"/>
      <c r="C977" s="6"/>
      <c r="D977" s="6"/>
      <c r="E977" s="6"/>
      <c r="F977" s="6"/>
    </row>
    <row r="978" spans="1:6" ht="15.75" customHeight="1">
      <c r="A978" s="6"/>
      <c r="B978" s="6"/>
      <c r="C978" s="6"/>
      <c r="D978" s="6"/>
      <c r="E978" s="6"/>
      <c r="F978" s="6"/>
    </row>
    <row r="979" spans="1:6" ht="15.75" customHeight="1">
      <c r="A979" s="6"/>
      <c r="B979" s="6"/>
      <c r="C979" s="6"/>
      <c r="D979" s="6"/>
      <c r="E979" s="6"/>
      <c r="F979" s="6"/>
    </row>
    <row r="980" spans="1:6" ht="15.75" customHeight="1">
      <c r="A980" s="6"/>
      <c r="B980" s="6"/>
      <c r="C980" s="6"/>
      <c r="D980" s="6"/>
      <c r="E980" s="6"/>
      <c r="F980" s="6"/>
    </row>
    <row r="981" spans="1:6" ht="15.75" customHeight="1">
      <c r="A981" s="6"/>
      <c r="B981" s="6"/>
      <c r="C981" s="6"/>
      <c r="D981" s="6"/>
      <c r="E981" s="6"/>
      <c r="F981" s="6"/>
    </row>
    <row r="982" spans="1:6" ht="15.75" customHeight="1">
      <c r="A982" s="6"/>
      <c r="B982" s="6"/>
      <c r="C982" s="6"/>
      <c r="D982" s="6"/>
      <c r="E982" s="6"/>
      <c r="F982" s="6"/>
    </row>
    <row r="983" spans="1:6" ht="15.75" customHeight="1">
      <c r="A983" s="6"/>
      <c r="B983" s="6"/>
      <c r="C983" s="6"/>
      <c r="D983" s="6"/>
      <c r="E983" s="6"/>
      <c r="F983" s="6"/>
    </row>
    <row r="984" spans="1:6" ht="15.75" customHeight="1">
      <c r="A984" s="6"/>
      <c r="B984" s="6"/>
      <c r="C984" s="6"/>
      <c r="D984" s="6"/>
      <c r="E984" s="6"/>
      <c r="F984" s="6"/>
    </row>
    <row r="985" spans="1:6" ht="15.75" customHeight="1">
      <c r="A985" s="6"/>
      <c r="B985" s="6"/>
      <c r="C985" s="6"/>
      <c r="D985" s="6"/>
      <c r="E985" s="6"/>
      <c r="F985" s="6"/>
    </row>
    <row r="986" spans="1:6" ht="15.75" customHeight="1">
      <c r="A986" s="6"/>
      <c r="B986" s="6"/>
      <c r="C986" s="6"/>
      <c r="D986" s="6"/>
      <c r="E986" s="6"/>
      <c r="F986" s="6"/>
    </row>
    <row r="987" spans="1:6" ht="15.75" customHeight="1">
      <c r="A987" s="6"/>
      <c r="B987" s="6"/>
      <c r="C987" s="6"/>
      <c r="D987" s="6"/>
      <c r="E987" s="6"/>
      <c r="F987" s="6"/>
    </row>
    <row r="988" spans="1:6" ht="15.75" customHeight="1">
      <c r="A988" s="6"/>
      <c r="B988" s="6"/>
      <c r="C988" s="6"/>
      <c r="D988" s="6"/>
      <c r="E988" s="6"/>
      <c r="F988" s="6"/>
    </row>
    <row r="989" spans="1:6" ht="15.75" customHeight="1">
      <c r="A989" s="6"/>
      <c r="B989" s="6"/>
      <c r="C989" s="6"/>
      <c r="D989" s="6"/>
      <c r="E989" s="6"/>
      <c r="F989" s="6"/>
    </row>
    <row r="990" spans="1:6" ht="15.75" customHeight="1">
      <c r="A990" s="6"/>
      <c r="B990" s="6"/>
      <c r="C990" s="6"/>
      <c r="D990" s="6"/>
      <c r="E990" s="6"/>
      <c r="F990" s="6"/>
    </row>
    <row r="991" spans="1:6" ht="15.75" customHeight="1">
      <c r="A991" s="6"/>
      <c r="B991" s="6"/>
      <c r="C991" s="6"/>
      <c r="D991" s="6"/>
      <c r="E991" s="6"/>
      <c r="F991" s="6"/>
    </row>
    <row r="992" spans="1:6" ht="15.75" customHeight="1">
      <c r="A992" s="6"/>
      <c r="B992" s="6"/>
      <c r="C992" s="6"/>
      <c r="D992" s="6"/>
      <c r="E992" s="6"/>
      <c r="F992" s="6"/>
    </row>
    <row r="993" spans="1:6" ht="15.75" customHeight="1">
      <c r="A993" s="6"/>
      <c r="B993" s="6"/>
      <c r="C993" s="6"/>
      <c r="D993" s="6"/>
      <c r="E993" s="6"/>
      <c r="F993" s="6"/>
    </row>
    <row r="994" spans="1:6" ht="15.75" customHeight="1">
      <c r="A994" s="6"/>
      <c r="B994" s="6"/>
      <c r="C994" s="6"/>
      <c r="D994" s="6"/>
      <c r="E994" s="6"/>
      <c r="F994" s="6"/>
    </row>
    <row r="995" spans="1:6" ht="15.75" customHeight="1">
      <c r="A995" s="6"/>
      <c r="B995" s="6"/>
      <c r="C995" s="6"/>
      <c r="D995" s="6"/>
      <c r="E995" s="6"/>
      <c r="F995" s="6"/>
    </row>
    <row r="996" spans="1:6" ht="15.75" customHeight="1">
      <c r="A996" s="6"/>
      <c r="B996" s="6"/>
      <c r="C996" s="6"/>
      <c r="D996" s="6"/>
      <c r="E996" s="6"/>
      <c r="F996" s="6"/>
    </row>
    <row r="997" spans="1:6" ht="15.75" customHeight="1">
      <c r="A997" s="6"/>
      <c r="B997" s="6"/>
      <c r="C997" s="6"/>
      <c r="D997" s="6"/>
      <c r="E997" s="6"/>
      <c r="F997" s="6"/>
    </row>
    <row r="998" spans="1:6" ht="15.75" customHeight="1">
      <c r="A998" s="6"/>
      <c r="B998" s="6"/>
      <c r="C998" s="6"/>
      <c r="D998" s="6"/>
      <c r="E998" s="6"/>
      <c r="F998" s="6"/>
    </row>
    <row r="999" spans="1:6" ht="15.75" customHeight="1">
      <c r="A999" s="6"/>
      <c r="B999" s="6"/>
      <c r="C999" s="6"/>
      <c r="D999" s="6"/>
      <c r="E999" s="6"/>
      <c r="F999" s="6"/>
    </row>
    <row r="1000" spans="1:6" ht="15.75" customHeight="1">
      <c r="A1000" s="6"/>
      <c r="B1000" s="6"/>
      <c r="C1000" s="6"/>
      <c r="D1000" s="6"/>
      <c r="E1000" s="6"/>
      <c r="F1000" s="6"/>
    </row>
    <row r="1001" spans="1:6" ht="15.75" customHeight="1">
      <c r="A1001" s="6"/>
      <c r="B1001" s="6"/>
      <c r="C1001" s="6"/>
      <c r="D1001" s="6"/>
      <c r="E1001" s="6"/>
      <c r="F1001" s="6"/>
    </row>
  </sheetData>
  <pageMargins left="0.7" right="0.7" top="0.75" bottom="0.75" header="0" footer="0"/>
  <pageSetup orientation="landscape"/>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00FF"/>
  </sheetPr>
  <dimension ref="A1:AA972"/>
  <sheetViews>
    <sheetView workbookViewId="0"/>
  </sheetViews>
  <sheetFormatPr defaultColWidth="11.25" defaultRowHeight="15" customHeight="1"/>
  <cols>
    <col min="1" max="1" width="5.5" customWidth="1"/>
    <col min="2" max="2" width="53.375" customWidth="1"/>
    <col min="3" max="3" width="30.125" customWidth="1"/>
    <col min="4" max="4" width="28.5" customWidth="1"/>
    <col min="5" max="5" width="32.625" customWidth="1"/>
    <col min="6" max="6" width="34.125" customWidth="1"/>
    <col min="7" max="27" width="10" customWidth="1"/>
  </cols>
  <sheetData>
    <row r="1" spans="1:27">
      <c r="A1" s="66"/>
      <c r="B1" s="67" t="s">
        <v>0</v>
      </c>
      <c r="C1" s="67"/>
      <c r="D1" s="67" t="s">
        <v>1</v>
      </c>
      <c r="E1" s="67" t="s">
        <v>2</v>
      </c>
      <c r="F1" s="67" t="s">
        <v>3</v>
      </c>
      <c r="G1" s="1"/>
      <c r="H1" s="1"/>
      <c r="I1" s="1"/>
      <c r="J1" s="1"/>
      <c r="K1" s="1"/>
      <c r="L1" s="1"/>
      <c r="M1" s="1"/>
      <c r="N1" s="1"/>
      <c r="O1" s="1"/>
      <c r="P1" s="1"/>
      <c r="Q1" s="1"/>
      <c r="R1" s="1"/>
      <c r="S1" s="1"/>
      <c r="T1" s="1"/>
      <c r="U1" s="1"/>
      <c r="V1" s="1"/>
      <c r="W1" s="1"/>
      <c r="X1" s="1"/>
      <c r="Y1" s="1"/>
      <c r="Z1" s="1"/>
      <c r="AA1" s="1"/>
    </row>
    <row r="2" spans="1:27">
      <c r="A2" s="68"/>
      <c r="B2" s="68" t="s">
        <v>141</v>
      </c>
      <c r="C2" s="68"/>
      <c r="D2" s="68" t="s">
        <v>142</v>
      </c>
      <c r="E2" s="68" t="s">
        <v>143</v>
      </c>
      <c r="F2" s="68" t="s">
        <v>144</v>
      </c>
      <c r="G2" s="9"/>
      <c r="H2" s="9"/>
      <c r="I2" s="9"/>
      <c r="J2" s="9"/>
      <c r="K2" s="9"/>
      <c r="L2" s="9"/>
      <c r="M2" s="9"/>
      <c r="N2" s="9"/>
      <c r="O2" s="9"/>
      <c r="P2" s="9"/>
      <c r="Q2" s="9"/>
      <c r="R2" s="9"/>
      <c r="S2" s="9"/>
      <c r="T2" s="9"/>
      <c r="U2" s="9"/>
      <c r="V2" s="9"/>
      <c r="W2" s="9"/>
      <c r="X2" s="9"/>
      <c r="Y2" s="9"/>
      <c r="Z2" s="9"/>
      <c r="AA2" s="9"/>
    </row>
    <row r="3" spans="1:27">
      <c r="A3" s="69" t="s">
        <v>145</v>
      </c>
      <c r="B3" s="70" t="s">
        <v>146</v>
      </c>
      <c r="C3" s="70" t="s">
        <v>147</v>
      </c>
      <c r="D3" s="70" t="str">
        <f ca="1">IFERROR(__xludf.DUMMYFUNCTION("GOOGLETRANSLATE(B3,(""auto""),(""es""))"),"Preparación:")</f>
        <v>Preparación:</v>
      </c>
      <c r="E3" s="70" t="str">
        <f ca="1">IFERROR(__xludf.DUMMYFUNCTION("GOOGLETRANSLATE(B3,(""auto""),(""fr""))"),"Préparation:")</f>
        <v>Préparation:</v>
      </c>
      <c r="F3" s="70" t="str">
        <f ca="1">IFERROR(__xludf.DUMMYFUNCTION("GOOGLETRANSLATE(D3,(""auto""),(""IT""))"),"Preparazione:")</f>
        <v>Preparazione:</v>
      </c>
    </row>
    <row r="4" spans="1:27">
      <c r="A4" s="10">
        <v>1</v>
      </c>
      <c r="B4" s="11" t="s">
        <v>148</v>
      </c>
      <c r="C4" s="11"/>
      <c r="D4" s="11" t="str">
        <f ca="1">IFERROR(__xludf.DUMMYFUNCTION("GOOGLETRANSLATE(B4,(""auto""),(""es""))"),"Retire la canasta delantera -B0")</f>
        <v>Retire la canasta delantera -B0</v>
      </c>
      <c r="E4" s="11" t="str">
        <f ca="1">IFERROR(__xludf.DUMMYFUNCTION("GOOGLETRANSLATE(B4,(""auto""),(""fr""))"),"Retirez le panier avant -B0")</f>
        <v>Retirez le panier avant -B0</v>
      </c>
      <c r="F4" s="11" t="str">
        <f ca="1">IFERROR(__xludf.DUMMYFUNCTION("GOOGLETRANSLATE(D4,(""auto""),(""IT""))"),"Rimuovere il cestino anteriore -b0")</f>
        <v>Rimuovere il cestino anteriore -b0</v>
      </c>
    </row>
    <row r="5" spans="1:27">
      <c r="A5" s="10">
        <v>2</v>
      </c>
      <c r="B5" s="11" t="s">
        <v>149</v>
      </c>
      <c r="C5" s="11"/>
      <c r="D5" s="11" t="str">
        <f ca="1">IFERROR(__xludf.DUMMYFUNCTION("GOOGLETRANSLATE(B5,(""auto""),(""es""))"),"Retire la cubierta frontal - B1")</f>
        <v>Retire la cubierta frontal - B1</v>
      </c>
      <c r="E5" s="11" t="str">
        <f ca="1">IFERROR(__xludf.DUMMYFUNCTION("GOOGLETRANSLATE(B5,(""auto""),(""fr""))"),"Retirez le couvercle avant - B1")</f>
        <v>Retirez le couvercle avant - B1</v>
      </c>
      <c r="F5" s="11" t="str">
        <f ca="1">IFERROR(__xludf.DUMMYFUNCTION("GOOGLETRANSLATE(D5,(""auto""),(""IT""))"),"Rimuovere il coperchio anteriore - B1")</f>
        <v>Rimuovere il coperchio anteriore - B1</v>
      </c>
    </row>
    <row r="6" spans="1:27">
      <c r="A6" s="69" t="s">
        <v>150</v>
      </c>
      <c r="B6" s="70" t="s">
        <v>151</v>
      </c>
      <c r="C6" s="70" t="s">
        <v>152</v>
      </c>
      <c r="D6" s="70" t="str">
        <f ca="1">IFERROR(__xludf.DUMMYFUNCTION("GOOGLETRANSLATE(B6,(""auto""),(""es""))"),"Descripción")</f>
        <v>Descripción</v>
      </c>
      <c r="E6" s="70" t="str">
        <f ca="1">IFERROR(__xludf.DUMMYFUNCTION("GOOGLETRANSLATE(B6,(""auto""),(""fr""))"),"Description")</f>
        <v>Description</v>
      </c>
      <c r="F6" s="70" t="str">
        <f ca="1">IFERROR(__xludf.DUMMYFUNCTION("GOOGLETRANSLATE(D6,(""auto""),(""IT""))"),"Descrizione")</f>
        <v>Descrizione</v>
      </c>
    </row>
    <row r="7" spans="1:27" ht="66.75" customHeight="1">
      <c r="A7" s="10">
        <v>1</v>
      </c>
      <c r="B7" s="11" t="s">
        <v>153</v>
      </c>
      <c r="C7" s="11"/>
      <c r="D7" s="11" t="str">
        <f ca="1">IFERROR(__xludf.DUMMYFUNCTION("GOOGLETRANSLATE(B7,(""auto""),(""es""))"),"Retire los cuatro tornillos en el círculo rojo con un destornillador de Phillips")</f>
        <v>Retire los cuatro tornillos en el círculo rojo con un destornillador de Phillips</v>
      </c>
      <c r="E7" s="11" t="str">
        <f ca="1">IFERROR(__xludf.DUMMYFUNCTION("GOOGLETRANSLATE(B7,(""auto""),(""fr""))"),"Retirez les quatre vis dans le cercle rouge avec un tournevis Phillips")</f>
        <v>Retirez les quatre vis dans le cercle rouge avec un tournevis Phillips</v>
      </c>
      <c r="F7" s="11" t="str">
        <f ca="1">IFERROR(__xludf.DUMMYFUNCTION("GOOGLETRANSLATE(D7,(""auto""),(""IT""))"),"Rimuovere le quattro viti nel cerchio rosso con un cacciavite Phillips")</f>
        <v>Rimuovere le quattro viti nel cerchio rosso con un cacciavite Phillips</v>
      </c>
    </row>
    <row r="8" spans="1:27" ht="140.25" customHeight="1">
      <c r="A8" s="10">
        <v>2</v>
      </c>
      <c r="B8" s="11" t="s">
        <v>154</v>
      </c>
      <c r="C8" s="11"/>
      <c r="D8" s="11" t="str">
        <f ca="1">IFERROR(__xludf.DUMMYFUNCTION("GOOGLETRANSLATE(B8,(""auto""),(""es""))"),"
Desenchufe el conector del faro y el conector de acuñadores frontales y saque el conjunto del faro
")</f>
        <v xml:space="preserve">
Desenchufe el conector del faro y el conector de acuñadores frontales y saque el conjunto del faro
</v>
      </c>
      <c r="E8" s="11" t="str">
        <f ca="1">IFERROR(__xludf.DUMMYFUNCTION("GOOGLETRANSLATE(D8,(""auto""),(""fr""))"),"
Débranchez le connecteur du phare et le connecteur de la pièce avant et retirez l'ensemble du phare
")</f>
        <v xml:space="preserve">
Débranchez le connecteur du phare et le connecteur de la pièce avant et retirez l'ensemble du phare
</v>
      </c>
      <c r="F8" s="11" t="str">
        <f ca="1">IFERROR(__xludf.DUMMYFUNCTION("GOOGLETRANSLATE(D8,(""auto""),(""IT""))"),"
Scollegare il connettore del faro e il connettore della moneta anteriore ed eliminare il set del faro
")</f>
        <v xml:space="preserve">
Scollegare il connettore del faro e il connettore della moneta anteriore ed eliminare il set del faro
</v>
      </c>
    </row>
    <row r="9" spans="1:27">
      <c r="A9" s="68"/>
      <c r="B9" s="68" t="s">
        <v>155</v>
      </c>
      <c r="C9" s="68"/>
      <c r="D9" s="71" t="str">
        <f ca="1">IFERROR(__xludf.DUMMYFUNCTION("GOOGLETRANSLATE(B9,(""auto""),(""es""))"),"A2 - Conjunto del velocímetro")</f>
        <v>A2 - Conjunto del velocímetro</v>
      </c>
      <c r="E9" s="71" t="str">
        <f ca="1">IFERROR(__xludf.DUMMYFUNCTION("GOOGLETRANSLATE(B9,(""auto""),(""FR""))"),"A2 - Ensemble de compteur de vitesse")</f>
        <v>A2 - Ensemble de compteur de vitesse</v>
      </c>
      <c r="F9" s="71" t="str">
        <f ca="1">IFERROR(__xludf.DUMMYFUNCTION("GOOGLETRANSLATE(B9,(""auto""),(""IT""))"),"A2 - Gruppo tachimetro")</f>
        <v>A2 - Gruppo tachimetro</v>
      </c>
    </row>
    <row r="10" spans="1:27">
      <c r="A10" s="69" t="s">
        <v>145</v>
      </c>
      <c r="B10" s="70" t="s">
        <v>146</v>
      </c>
      <c r="C10" s="70" t="s">
        <v>147</v>
      </c>
      <c r="D10" s="70" t="str">
        <f ca="1">IFERROR(__xludf.DUMMYFUNCTION("GOOGLETRANSLATE(B10,(""auto""),(""es""))"),"Preparación:")</f>
        <v>Preparación:</v>
      </c>
      <c r="E10" s="70" t="str">
        <f ca="1">IFERROR(__xludf.DUMMYFUNCTION("GOOGLETRANSLATE(B10,(""auto""),(""fr""))"),"Préparation:")</f>
        <v>Préparation:</v>
      </c>
      <c r="F10" s="70" t="str">
        <f ca="1">IFERROR(__xludf.DUMMYFUNCTION("GOOGLETRANSLATE(D10,(""auto""),(""IT""))"),"Preparazione:")</f>
        <v>Preparazione:</v>
      </c>
    </row>
    <row r="11" spans="1:27">
      <c r="A11" s="10">
        <v>1</v>
      </c>
      <c r="B11" s="11" t="s">
        <v>156</v>
      </c>
      <c r="C11" s="11"/>
      <c r="D11" s="11" t="str">
        <f ca="1">IFERROR(__xludf.DUMMYFUNCTION("GOOGLETRANSLATE(B11,(""auto""),(""es""))"),"Retire la canasta delantera - B0")</f>
        <v>Retire la canasta delantera - B0</v>
      </c>
      <c r="E11" s="11" t="str">
        <f ca="1">IFERROR(__xludf.DUMMYFUNCTION("GOOGLETRANSLATE(B11,(""auto""),(""FR""))"),"Retirez le panier avant - B0")</f>
        <v>Retirez le panier avant - B0</v>
      </c>
      <c r="F11" s="11" t="str">
        <f ca="1">IFERROR(__xludf.DUMMYFUNCTION("GOOGLETRANSLATE(B11,(""auto""),(""IT""))"),"Rimuovere il cestino anteriore - B0")</f>
        <v>Rimuovere il cestino anteriore - B0</v>
      </c>
    </row>
    <row r="12" spans="1:27">
      <c r="A12" s="10">
        <v>2</v>
      </c>
      <c r="B12" s="11" t="s">
        <v>149</v>
      </c>
      <c r="C12" s="11"/>
      <c r="D12" s="11" t="str">
        <f ca="1">IFERROR(__xludf.DUMMYFUNCTION("GOOGLETRANSLATE(B12,(""auto""),(""es""))"),"Retire la cubierta frontal - B1")</f>
        <v>Retire la cubierta frontal - B1</v>
      </c>
      <c r="E12" s="11" t="str">
        <f ca="1">IFERROR(__xludf.DUMMYFUNCTION("GOOGLETRANSLATE(B12,(""auto""),(""FR""))"),"Retirez le couvercle avant - B1")</f>
        <v>Retirez le couvercle avant - B1</v>
      </c>
      <c r="F12" s="11" t="str">
        <f ca="1">IFERROR(__xludf.DUMMYFUNCTION("GOOGLETRANSLATE(B12,(""auto""),(""IT""))"),"Rimuovere il coperchio anteriore - B1")</f>
        <v>Rimuovere il coperchio anteriore - B1</v>
      </c>
    </row>
    <row r="13" spans="1:27">
      <c r="A13" s="10">
        <v>3</v>
      </c>
      <c r="B13" s="11" t="s">
        <v>157</v>
      </c>
      <c r="C13" s="11"/>
      <c r="D13" s="11" t="str">
        <f ca="1">IFERROR(__xludf.DUMMYFUNCTION("GOOGLETRANSLATE(B13,(""auto""),(""es""))"),"Retire la placa eléctrica - B3")</f>
        <v>Retire la placa eléctrica - B3</v>
      </c>
      <c r="E13" s="11" t="str">
        <f ca="1">IFERROR(__xludf.DUMMYFUNCTION("GOOGLETRANSLATE(B13,(""auto""),(""FR""))"),"Retirez la plaque électrique - B3")</f>
        <v>Retirez la plaque électrique - B3</v>
      </c>
      <c r="F13" s="11" t="str">
        <f ca="1">IFERROR(__xludf.DUMMYFUNCTION("GOOGLETRANSLATE(B13,(""auto""),(""IT""))"),"Rimuovere la piastra elettrica - B3")</f>
        <v>Rimuovere la piastra elettrica - B3</v>
      </c>
    </row>
    <row r="14" spans="1:27" ht="15.75" customHeight="1">
      <c r="A14" s="69" t="s">
        <v>150</v>
      </c>
      <c r="B14" s="70" t="s">
        <v>151</v>
      </c>
      <c r="C14" s="70" t="s">
        <v>152</v>
      </c>
      <c r="D14" s="70" t="str">
        <f ca="1">IFERROR(__xludf.DUMMYFUNCTION("GOOGLETRANSLATE(B14,(""auto""),(""es""))"),"Descripción")</f>
        <v>Descripción</v>
      </c>
      <c r="E14" s="70" t="str">
        <f ca="1">IFERROR(__xludf.DUMMYFUNCTION("GOOGLETRANSLATE(B14,(""auto""),(""fr""))"),"Description")</f>
        <v>Description</v>
      </c>
      <c r="F14" s="70" t="str">
        <f ca="1">IFERROR(__xludf.DUMMYFUNCTION("GOOGLETRANSLATE(D14,(""auto""),(""IT""))"),"Descrizione")</f>
        <v>Descrizione</v>
      </c>
      <c r="G14" s="12"/>
      <c r="H14" s="12"/>
      <c r="I14" s="12"/>
      <c r="J14" s="12"/>
      <c r="K14" s="12"/>
      <c r="L14" s="12"/>
      <c r="M14" s="12"/>
      <c r="N14" s="12"/>
      <c r="O14" s="12"/>
      <c r="P14" s="12"/>
      <c r="Q14" s="12"/>
      <c r="R14" s="12"/>
      <c r="S14" s="12"/>
      <c r="T14" s="12"/>
      <c r="U14" s="12"/>
      <c r="V14" s="12"/>
      <c r="W14" s="12"/>
      <c r="X14" s="12"/>
      <c r="Y14" s="12"/>
      <c r="Z14" s="12"/>
      <c r="AA14" s="12"/>
    </row>
    <row r="15" spans="1:27" ht="68.25" customHeight="1">
      <c r="A15" s="10">
        <v>1</v>
      </c>
      <c r="B15" s="11" t="s">
        <v>158</v>
      </c>
      <c r="C15" s="11"/>
      <c r="D15" s="11" t="str">
        <f ca="1">IFERROR(__xludf.DUMMYFUNCTION("GOOGLETRANSLATE(B15,(""auto""),(""es""))"),"Retire los dos pernos del soporte del velocímetro y retire el conjunto del velocímetro con hexágono interno de 5 mm")</f>
        <v>Retire los dos pernos del soporte del velocímetro y retire el conjunto del velocímetro con hexágono interno de 5 mm</v>
      </c>
      <c r="E15" s="11" t="str">
        <f ca="1">IFERROR(__xludf.DUMMYFUNCTION("GOOGLETRANSLATE(B15,(""auto""),(""FR""))"),"Retirez les deux boulons du support de compteur de vitesse et retirez l'ensemble du compteur de vitesse avec un hexagone intérieur de 5 mm")</f>
        <v>Retirez les deux boulons du support de compteur de vitesse et retirez l'ensemble du compteur de vitesse avec un hexagone intérieur de 5 mm</v>
      </c>
      <c r="F15" s="11" t="str">
        <f ca="1">IFERROR(__xludf.DUMMYFUNCTION("GOOGLETRANSLATE(B15,(""auto""),(""IT""))"),"Rimuovere i due bulloni della staffa del tachimetro e rimuovere il gruppo tachimetro con esagono interno da 5 mm")</f>
        <v>Rimuovere i due bulloni della staffa del tachimetro e rimuovere il gruppo tachimetro con esagono interno da 5 mm</v>
      </c>
    </row>
    <row r="16" spans="1:27" ht="66" customHeight="1">
      <c r="A16" s="10">
        <v>2</v>
      </c>
      <c r="B16" s="11" t="s">
        <v>159</v>
      </c>
      <c r="C16" s="11"/>
      <c r="D16" s="11" t="str">
        <f ca="1">IFERROR(__xludf.DUMMYFUNCTION("GOOGLETRANSLATE(B16,(""auto""),(""es""))"),"Retire 2 tuercas de la cubierta inferior del velocímetro con una manga de clavos de 10 mm")</f>
        <v>Retire 2 tuercas de la cubierta inferior del velocímetro con una manga de clavos de 10 mm</v>
      </c>
      <c r="E16" s="11" t="str">
        <f ca="1">IFERROR(__xludf.DUMMYFUNCTION("GOOGLETRANSLATE(B16,(""auto""),(""FR""))"),"Retirez 2 écrous de la coque inférieure du compteur de vitesse avec un manchon à ongles de 10 mm")</f>
        <v>Retirez 2 écrous de la coque inférieure du compteur de vitesse avec un manchon à ongles de 10 mm</v>
      </c>
      <c r="F16" s="11" t="str">
        <f ca="1">IFERROR(__xludf.DUMMYFUNCTION("GOOGLETRANSLATE(B16,(""auto""),(""IT""))"),"Rimuovere 2 dadi dal guscio inferiore del tachimetro con manica unghie da 10 mm")</f>
        <v>Rimuovere 2 dadi dal guscio inferiore del tachimetro con manica unghie da 10 mm</v>
      </c>
    </row>
    <row r="17" spans="1:27">
      <c r="A17" s="68"/>
      <c r="B17" s="68" t="s">
        <v>160</v>
      </c>
      <c r="C17" s="68"/>
      <c r="D17" s="71" t="str">
        <f ca="1">IFERROR(__xludf.DUMMYFUNCTION("GOOGLETRANSLATE(B17,(""auto""),(""es""))"),"A3 - Conjunto del interruptor derecho")</f>
        <v>A3 - Conjunto del interruptor derecho</v>
      </c>
      <c r="E17" s="71" t="str">
        <f ca="1">IFERROR(__xludf.DUMMYFUNCTION("GOOGLETRANSLATE(B17,(""auto""),(""FR""))"),"A3 - Assemblage de l'interrupteur droit")</f>
        <v>A3 - Assemblage de l'interrupteur droit</v>
      </c>
      <c r="F17" s="71" t="str">
        <f ca="1">IFERROR(__xludf.DUMMYFUNCTION("GOOGLETRANSLATE(B17,(""auto""),(""IT""))"),"A3 - Assemblaggio dell'interruttore destro")</f>
        <v>A3 - Assemblaggio dell'interruttore destro</v>
      </c>
      <c r="G17" s="12"/>
      <c r="H17" s="12"/>
      <c r="I17" s="12"/>
      <c r="J17" s="12"/>
      <c r="K17" s="12"/>
      <c r="L17" s="12"/>
      <c r="M17" s="12"/>
      <c r="N17" s="12"/>
      <c r="O17" s="12"/>
      <c r="P17" s="12"/>
      <c r="Q17" s="12"/>
      <c r="R17" s="12"/>
      <c r="S17" s="12"/>
      <c r="T17" s="12"/>
      <c r="U17" s="12"/>
      <c r="V17" s="12"/>
      <c r="W17" s="12"/>
      <c r="X17" s="12"/>
      <c r="Y17" s="12"/>
      <c r="Z17" s="12"/>
      <c r="AA17" s="12"/>
    </row>
    <row r="18" spans="1:27" ht="15.75" customHeight="1">
      <c r="A18" s="69" t="s">
        <v>145</v>
      </c>
      <c r="B18" s="70" t="s">
        <v>146</v>
      </c>
      <c r="C18" s="70" t="s">
        <v>147</v>
      </c>
      <c r="D18" s="70" t="str">
        <f ca="1">IFERROR(__xludf.DUMMYFUNCTION("GOOGLETRANSLATE(B18,(""auto""),(""es""))"),"Preparación:")</f>
        <v>Preparación:</v>
      </c>
      <c r="E18" s="70" t="str">
        <f ca="1">IFERROR(__xludf.DUMMYFUNCTION("GOOGLETRANSLATE(B18,(""auto""),(""fr""))"),"Préparation:")</f>
        <v>Préparation:</v>
      </c>
      <c r="F18" s="70" t="str">
        <f ca="1">IFERROR(__xludf.DUMMYFUNCTION("GOOGLETRANSLATE(D18,(""auto""),(""IT""))"),"Preparazione:")</f>
        <v>Preparazione:</v>
      </c>
    </row>
    <row r="19" spans="1:27" ht="15.75" customHeight="1">
      <c r="A19" s="10">
        <v>1</v>
      </c>
      <c r="B19" s="11" t="s">
        <v>156</v>
      </c>
      <c r="C19" s="11"/>
      <c r="D19" s="11" t="str">
        <f ca="1">IFERROR(__xludf.DUMMYFUNCTION("GOOGLETRANSLATE(B19,(""auto""),(""es""))"),"Retire la canasta delantera - B0")</f>
        <v>Retire la canasta delantera - B0</v>
      </c>
      <c r="E19" s="11" t="str">
        <f ca="1">IFERROR(__xludf.DUMMYFUNCTION("GOOGLETRANSLATE(B19,(""auto""),(""FR""))"),"Retirez le panier avant - B0")</f>
        <v>Retirez le panier avant - B0</v>
      </c>
      <c r="F19" s="11" t="str">
        <f ca="1">IFERROR(__xludf.DUMMYFUNCTION("GOOGLETRANSLATE(B19,(""auto""),(""IT""))"),"Rimuovere il cestino anteriore - B0")</f>
        <v>Rimuovere il cestino anteriore - B0</v>
      </c>
    </row>
    <row r="20" spans="1:27" ht="15.75" customHeight="1">
      <c r="A20" s="10">
        <v>2</v>
      </c>
      <c r="B20" s="11" t="s">
        <v>149</v>
      </c>
      <c r="C20" s="11"/>
      <c r="D20" s="11" t="str">
        <f ca="1">IFERROR(__xludf.DUMMYFUNCTION("GOOGLETRANSLATE(B20,(""auto""),(""es""))"),"Retire la cubierta frontal - B1")</f>
        <v>Retire la cubierta frontal - B1</v>
      </c>
      <c r="E20" s="11" t="str">
        <f ca="1">IFERROR(__xludf.DUMMYFUNCTION("GOOGLETRANSLATE(B20,(""auto""),(""FR""))"),"Retirez le couvercle avant - B1")</f>
        <v>Retirez le couvercle avant - B1</v>
      </c>
      <c r="F20" s="11" t="str">
        <f ca="1">IFERROR(__xludf.DUMMYFUNCTION("GOOGLETRANSLATE(B20,(""auto""),(""IT""))"),"Rimuovere il coperchio anteriore - B1")</f>
        <v>Rimuovere il coperchio anteriore - B1</v>
      </c>
    </row>
    <row r="21" spans="1:27" ht="15.75" customHeight="1">
      <c r="A21" s="10">
        <v>3</v>
      </c>
      <c r="B21" s="11" t="s">
        <v>157</v>
      </c>
      <c r="C21" s="11"/>
      <c r="D21" s="11" t="str">
        <f ca="1">IFERROR(__xludf.DUMMYFUNCTION("GOOGLETRANSLATE(B21,(""auto""),(""es""))"),"Retire la placa eléctrica - B3")</f>
        <v>Retire la placa eléctrica - B3</v>
      </c>
      <c r="E21" s="11" t="str">
        <f ca="1">IFERROR(__xludf.DUMMYFUNCTION("GOOGLETRANSLATE(B21,(""auto""),(""FR""))"),"Retirez la plaque électrique - B3")</f>
        <v>Retirez la plaque électrique - B3</v>
      </c>
      <c r="F21" s="11" t="str">
        <f ca="1">IFERROR(__xludf.DUMMYFUNCTION("GOOGLETRANSLATE(B21,(""auto""),(""IT""))"),"Rimuovere la piastra elettrica - B3")</f>
        <v>Rimuovere la piastra elettrica - B3</v>
      </c>
    </row>
    <row r="22" spans="1:27" ht="15.75" customHeight="1">
      <c r="A22" s="10">
        <v>4</v>
      </c>
      <c r="B22" s="11" t="s">
        <v>161</v>
      </c>
      <c r="C22" s="11"/>
      <c r="D22" s="11" t="str">
        <f ca="1">IFERROR(__xludf.DUMMYFUNCTION("GOOGLETRANSLATE(B22,(""auto""),(""es""))"),"Retire el soporte del velocímetro - A2")</f>
        <v>Retire el soporte del velocímetro - A2</v>
      </c>
      <c r="E22" s="11" t="str">
        <f ca="1">IFERROR(__xludf.DUMMYFUNCTION("GOOGLETRANSLATE(B22,(""auto""),(""FR""))"),"Retirez le support du compteur de vitesse - A2")</f>
        <v>Retirez le support du compteur de vitesse - A2</v>
      </c>
      <c r="F22" s="11" t="str">
        <f ca="1">IFERROR(__xludf.DUMMYFUNCTION("GOOGLETRANSLATE(B22,(""auto""),(""IT""))"),"Rimuovere la staffa del tachimetro - A2")</f>
        <v>Rimuovere la staffa del tachimetro - A2</v>
      </c>
    </row>
    <row r="23" spans="1:27" ht="15.75" customHeight="1">
      <c r="A23" s="69" t="s">
        <v>150</v>
      </c>
      <c r="B23" s="70" t="s">
        <v>151</v>
      </c>
      <c r="C23" s="70" t="s">
        <v>152</v>
      </c>
      <c r="D23" s="70" t="str">
        <f ca="1">IFERROR(__xludf.DUMMYFUNCTION("GOOGLETRANSLATE(B23,(""auto""),(""es""))"),"Descripción")</f>
        <v>Descripción</v>
      </c>
      <c r="E23" s="70" t="str">
        <f ca="1">IFERROR(__xludf.DUMMYFUNCTION("GOOGLETRANSLATE(B23,(""auto""),(""fr""))"),"Description")</f>
        <v>Description</v>
      </c>
      <c r="F23" s="70" t="str">
        <f ca="1">IFERROR(__xludf.DUMMYFUNCTION("GOOGLETRANSLATE(D23,(""auto""),(""IT""))"),"Descrizione")</f>
        <v>Descrizione</v>
      </c>
      <c r="G23" s="12"/>
      <c r="H23" s="12"/>
      <c r="I23" s="12"/>
      <c r="J23" s="12"/>
      <c r="K23" s="12"/>
      <c r="L23" s="12"/>
      <c r="M23" s="12"/>
      <c r="N23" s="12"/>
      <c r="O23" s="12"/>
      <c r="P23" s="12"/>
      <c r="Q23" s="12"/>
      <c r="R23" s="12"/>
      <c r="S23" s="12"/>
      <c r="T23" s="12"/>
      <c r="U23" s="12"/>
      <c r="V23" s="12"/>
      <c r="W23" s="12"/>
      <c r="X23" s="12"/>
      <c r="Y23" s="12"/>
      <c r="Z23" s="12"/>
      <c r="AA23" s="12"/>
    </row>
    <row r="24" spans="1:27" ht="84" customHeight="1">
      <c r="A24" s="10">
        <v>1</v>
      </c>
      <c r="B24" s="11" t="s">
        <v>162</v>
      </c>
      <c r="C24" s="11"/>
      <c r="D24" s="11" t="str">
        <f ca="1">IFERROR(__xludf.DUMMYFUNCTION("GOOGLETRANSLATE(B24,(""auto""),(""es""))"),"Desenchufe el conector de ensamblaje del interruptor derecho, gire el conector de la manija y desenchufe el arnés")</f>
        <v>Desenchufe el conector de ensamblaje del interruptor derecho, gire el conector de la manija y desenchufe el arnés</v>
      </c>
      <c r="E24" s="11" t="str">
        <f ca="1">IFERROR(__xludf.DUMMYFUNCTION("GOOGLETRANSLATE(B24,(""auto""),(""FR""))"),"Débranchez le connecteur d'assemblage de l'interrupteur droit, tournez le connecteur de poignée et débranchez le faisceau")</f>
        <v>Débranchez le connecteur d'assemblage de l'interrupteur droit, tournez le connecteur de poignée et débranchez le faisceau</v>
      </c>
      <c r="F24" s="11" t="str">
        <f ca="1">IFERROR(__xludf.DUMMYFUNCTION("GOOGLETRANSLATE(B24,(""auto""),(""IT""))"),"Scollegare il connettore del gruppo interruttore destro, girare il connettore dell'impugnatura e scollegare il cablaggio")</f>
        <v>Scollegare il connettore del gruppo interruttore destro, girare il connettore dell'impugnatura e scollegare il cablaggio</v>
      </c>
    </row>
    <row r="25" spans="1:27" ht="62.25" customHeight="1">
      <c r="A25" s="10">
        <v>2</v>
      </c>
      <c r="B25" s="11" t="s">
        <v>163</v>
      </c>
      <c r="C25" s="11"/>
      <c r="D25" s="11" t="str">
        <f ca="1">IFERROR(__xludf.DUMMYFUNCTION("GOOGLETRANSLATE(B25,(""auto""),(""es""))"),"Retire el perno de fijación de fijación de la bomba superior del freno derecho con una llave de 8 mm")</f>
        <v>Retire el perno de fijación de fijación de la bomba superior del freno derecho con una llave de 8 mm</v>
      </c>
      <c r="E25" s="11" t="str">
        <f ca="1">IFERROR(__xludf.DUMMYFUNCTION("GOOGLETRANSLATE(B25,(""auto""),(""FR""))"),"Retirez le boulon de fixation de la pompe supérieure du frein droit avec une clé de 8 mm")</f>
        <v>Retirez le boulon de fixation de la pompe supérieure du frein droit avec une clé de 8 mm</v>
      </c>
      <c r="F25" s="11" t="str">
        <f ca="1">IFERROR(__xludf.DUMMYFUNCTION("GOOGLETRANSLATE(B25,(""auto""),(""IT""))"),"Rimuovere il bullone di fissaggio della pompa superiore freno destro con una chiave a 8 mm")</f>
        <v>Rimuovere il bullone di fissaggio della pompa superiore freno destro con una chiave a 8 mm</v>
      </c>
    </row>
    <row r="26" spans="1:27" ht="99.75" customHeight="1">
      <c r="A26" s="10">
        <v>3</v>
      </c>
      <c r="B26" s="11" t="s">
        <v>164</v>
      </c>
      <c r="C26" s="11"/>
      <c r="D26" s="11" t="str">
        <f ca="1">IFERROR(__xludf.DUMMYFUNCTION("GOOGLETRANSLATE(B26,(""auto""),(""es""))"),"Retire el conjunto del interruptor derecho de 2 tornillos con un destornillador de Phillips (marcado en la imagen)")</f>
        <v>Retire el conjunto del interruptor derecho de 2 tornillos con un destornillador de Phillips (marcado en la imagen)</v>
      </c>
      <c r="E26" s="11" t="str">
        <f ca="1">IFERROR(__xludf.DUMMYFUNCTION("GOOGLETRANSLATE(B26,(""auto""),(""FR""))"),"Retirez l'ensemble de l'interrupteur droit de 2 vis avec un tournevis Phillips (marqué sur l'image)")</f>
        <v>Retirez l'ensemble de l'interrupteur droit de 2 vis avec un tournevis Phillips (marqué sur l'image)</v>
      </c>
      <c r="F26" s="11" t="str">
        <f ca="1">IFERROR(__xludf.DUMMYFUNCTION("GOOGLETRANSLATE(B26,(""auto""),(""IT""))"),"Rimuovere il gruppo interruttore destro di 2 viti con un cacciavite Phillips (contrassegnato nell'immagine)")</f>
        <v>Rimuovere il gruppo interruttore destro di 2 viti con un cacciavite Phillips (contrassegnato nell'immagine)</v>
      </c>
    </row>
    <row r="27" spans="1:27" ht="97.5" customHeight="1">
      <c r="A27" s="10">
        <v>4</v>
      </c>
      <c r="B27" s="11" t="s">
        <v>165</v>
      </c>
      <c r="C27" s="11"/>
      <c r="D27" s="11" t="str">
        <f ca="1">IFERROR(__xludf.DUMMYFUNCTION("GOOGLETRANSLATE(B27,(""auto""),(""es""))"),"Retire los pernos con una llave hexagonal interna de 5 mm y retire el peso del mango")</f>
        <v>Retire los pernos con una llave hexagonal interna de 5 mm y retire el peso del mango</v>
      </c>
      <c r="E27" s="11" t="str">
        <f ca="1">IFERROR(__xludf.DUMMYFUNCTION("GOOGLETRANSLATE(B27,(""auto""),(""FR""))"),"Retirez les boulons avec une clé hexagonale intérieure de 5 mm et retirez le poids de la poignée")</f>
        <v>Retirez les boulons avec une clé hexagonale intérieure de 5 mm et retirez le poids de la poignée</v>
      </c>
      <c r="F27" s="11" t="str">
        <f ca="1">IFERROR(__xludf.DUMMYFUNCTION("GOOGLETRANSLATE(B27,(""auto""),(""IT""))"),"Rimuovere i bulloni con chiave esagonale interna da 5 mm e rimuovere il peso della maniglia")</f>
        <v>Rimuovere i bulloni con chiave esagonale interna da 5 mm e rimuovere il peso della maniglia</v>
      </c>
    </row>
    <row r="28" spans="1:27">
      <c r="A28" s="68"/>
      <c r="B28" s="68" t="s">
        <v>166</v>
      </c>
      <c r="C28" s="68"/>
      <c r="D28" s="71" t="str">
        <f ca="1">IFERROR(__xludf.DUMMYFUNCTION("GOOGLETRANSLATE(B28,(""auto""),(""es""))"),"A4 - Conjunto del interruptor izquierdo")</f>
        <v>A4 - Conjunto del interruptor izquierdo</v>
      </c>
      <c r="E28" s="71" t="str">
        <f ca="1">IFERROR(__xludf.DUMMYFUNCTION("GOOGLETRANSLATE(B28,(""auto""),(""FR""))"),"A4 - Assemblage de l'interrupteur de gauche")</f>
        <v>A4 - Assemblage de l'interrupteur de gauche</v>
      </c>
      <c r="F28" s="71" t="str">
        <f ca="1">IFERROR(__xludf.DUMMYFUNCTION("GOOGLETRANSLATE(B28,(""auto""),(""IT""))"),"A4 - Assemblaggio dell'interruttore sinistro")</f>
        <v>A4 - Assemblaggio dell'interruttore sinistro</v>
      </c>
      <c r="G28" s="12"/>
      <c r="H28" s="12"/>
      <c r="I28" s="12"/>
      <c r="J28" s="12"/>
      <c r="K28" s="12"/>
      <c r="L28" s="12"/>
      <c r="M28" s="12"/>
      <c r="N28" s="12"/>
      <c r="O28" s="12"/>
      <c r="P28" s="12"/>
      <c r="Q28" s="12"/>
      <c r="R28" s="12"/>
      <c r="S28" s="12"/>
      <c r="T28" s="12"/>
      <c r="U28" s="12"/>
      <c r="V28" s="12"/>
      <c r="W28" s="12"/>
      <c r="X28" s="12"/>
      <c r="Y28" s="12"/>
      <c r="Z28" s="12"/>
      <c r="AA28" s="12"/>
    </row>
    <row r="29" spans="1:27" ht="15.75" customHeight="1">
      <c r="A29" s="69" t="s">
        <v>145</v>
      </c>
      <c r="B29" s="70" t="s">
        <v>146</v>
      </c>
      <c r="C29" s="70" t="s">
        <v>147</v>
      </c>
      <c r="D29" s="70" t="str">
        <f ca="1">IFERROR(__xludf.DUMMYFUNCTION("GOOGLETRANSLATE(B29,(""auto""),(""es""))"),"Preparación:")</f>
        <v>Preparación:</v>
      </c>
      <c r="E29" s="70" t="str">
        <f ca="1">IFERROR(__xludf.DUMMYFUNCTION("GOOGLETRANSLATE(C29,(""auto""),(""fr""))"),"Remarques")</f>
        <v>Remarques</v>
      </c>
      <c r="F29" s="70" t="str">
        <f ca="1">IFERROR(__xludf.DUMMYFUNCTION("GOOGLETRANSLATE(D29,(""auto""),(""IT""))"),"Preparazione:")</f>
        <v>Preparazione:</v>
      </c>
    </row>
    <row r="30" spans="1:27">
      <c r="A30" s="10">
        <v>1</v>
      </c>
      <c r="B30" s="11" t="s">
        <v>156</v>
      </c>
      <c r="C30" s="11"/>
      <c r="D30" s="11" t="str">
        <f ca="1">IFERROR(__xludf.DUMMYFUNCTION("GOOGLETRANSLATE(B30,(""auto""),(""es""))"),"Retire la canasta delantera - B0")</f>
        <v>Retire la canasta delantera - B0</v>
      </c>
      <c r="E30" s="11" t="str">
        <f ca="1">IFERROR(__xludf.DUMMYFUNCTION("GOOGLETRANSLATE(B30,(""auto""),(""FR""))"),"Retirez le panier avant - B0")</f>
        <v>Retirez le panier avant - B0</v>
      </c>
      <c r="F30" s="11" t="str">
        <f ca="1">IFERROR(__xludf.DUMMYFUNCTION("GOOGLETRANSLATE(B30,(""auto""),(""IT""))"),"Rimuovere il cestino anteriore - B0")</f>
        <v>Rimuovere il cestino anteriore - B0</v>
      </c>
    </row>
    <row r="31" spans="1:27">
      <c r="A31" s="10">
        <v>2</v>
      </c>
      <c r="B31" s="11" t="s">
        <v>149</v>
      </c>
      <c r="C31" s="11"/>
      <c r="D31" s="11" t="str">
        <f ca="1">IFERROR(__xludf.DUMMYFUNCTION("GOOGLETRANSLATE(B31,(""auto""),(""es""))"),"Retire la cubierta frontal - B1")</f>
        <v>Retire la cubierta frontal - B1</v>
      </c>
      <c r="E31" s="11" t="str">
        <f ca="1">IFERROR(__xludf.DUMMYFUNCTION("GOOGLETRANSLATE(B31,(""auto""),(""FR""))"),"Retirez le couvercle avant - B1")</f>
        <v>Retirez le couvercle avant - B1</v>
      </c>
      <c r="F31" s="11" t="str">
        <f ca="1">IFERROR(__xludf.DUMMYFUNCTION("GOOGLETRANSLATE(B31,(""auto""),(""IT""))"),"Rimuovere il coperchio anteriore - B1")</f>
        <v>Rimuovere il coperchio anteriore - B1</v>
      </c>
    </row>
    <row r="32" spans="1:27">
      <c r="A32" s="10">
        <v>3</v>
      </c>
      <c r="B32" s="11" t="s">
        <v>157</v>
      </c>
      <c r="C32" s="11"/>
      <c r="D32" s="11" t="str">
        <f ca="1">IFERROR(__xludf.DUMMYFUNCTION("GOOGLETRANSLATE(B32,(""auto""),(""es""))"),"Retire la placa eléctrica - B3")</f>
        <v>Retire la placa eléctrica - B3</v>
      </c>
      <c r="E32" s="11" t="str">
        <f ca="1">IFERROR(__xludf.DUMMYFUNCTION("GOOGLETRANSLATE(B32,(""auto""),(""FR""))"),"Retirez la plaque électrique - B3")</f>
        <v>Retirez la plaque électrique - B3</v>
      </c>
      <c r="F32" s="11" t="str">
        <f ca="1">IFERROR(__xludf.DUMMYFUNCTION("GOOGLETRANSLATE(B32,(""auto""),(""IT""))"),"Rimuovere la piastra elettrica - B3")</f>
        <v>Rimuovere la piastra elettrica - B3</v>
      </c>
    </row>
    <row r="33" spans="1:27">
      <c r="A33" s="10">
        <v>4</v>
      </c>
      <c r="B33" s="11" t="s">
        <v>161</v>
      </c>
      <c r="C33" s="11"/>
      <c r="D33" s="11" t="str">
        <f ca="1">IFERROR(__xludf.DUMMYFUNCTION("GOOGLETRANSLATE(B33,(""auto""),(""es""))"),"Retire el soporte del velocímetro - A2")</f>
        <v>Retire el soporte del velocímetro - A2</v>
      </c>
      <c r="E33" s="11" t="str">
        <f ca="1">IFERROR(__xludf.DUMMYFUNCTION("GOOGLETRANSLATE(B33,(""auto""),(""FR""))"),"Retirez le support du compteur de vitesse - A2")</f>
        <v>Retirez le support du compteur de vitesse - A2</v>
      </c>
      <c r="F33" s="11" t="str">
        <f ca="1">IFERROR(__xludf.DUMMYFUNCTION("GOOGLETRANSLATE(B33,(""auto""),(""IT""))"),"Rimuovere la staffa del tachimetro - A2")</f>
        <v>Rimuovere la staffa del tachimetro - A2</v>
      </c>
    </row>
    <row r="34" spans="1:27" ht="15.75" customHeight="1">
      <c r="A34" s="69" t="s">
        <v>150</v>
      </c>
      <c r="B34" s="70" t="s">
        <v>151</v>
      </c>
      <c r="C34" s="70" t="s">
        <v>152</v>
      </c>
      <c r="D34" s="70" t="str">
        <f ca="1">IFERROR(__xludf.DUMMYFUNCTION("GOOGLETRANSLATE(B34,(""auto""),(""es""))"),"Descripción")</f>
        <v>Descripción</v>
      </c>
      <c r="E34" s="70" t="str">
        <f ca="1">IFERROR(__xludf.DUMMYFUNCTION("GOOGLETRANSLATE(B34,(""auto""),(""fr""))"),"Description")</f>
        <v>Description</v>
      </c>
      <c r="F34" s="70" t="str">
        <f ca="1">IFERROR(__xludf.DUMMYFUNCTION("GOOGLETRANSLATE(D34,(""auto""),(""IT""))"),"Descrizione")</f>
        <v>Descrizione</v>
      </c>
      <c r="G34" s="12"/>
      <c r="H34" s="12"/>
      <c r="I34" s="12"/>
      <c r="J34" s="12"/>
      <c r="K34" s="12"/>
      <c r="L34" s="12"/>
      <c r="M34" s="12"/>
      <c r="N34" s="12"/>
      <c r="O34" s="12"/>
      <c r="P34" s="12"/>
      <c r="Q34" s="12"/>
      <c r="R34" s="12"/>
      <c r="S34" s="12"/>
      <c r="T34" s="12"/>
      <c r="U34" s="12"/>
      <c r="V34" s="12"/>
      <c r="W34" s="12"/>
      <c r="X34" s="12"/>
      <c r="Y34" s="12"/>
      <c r="Z34" s="12"/>
      <c r="AA34" s="12"/>
    </row>
    <row r="35" spans="1:27" ht="97.5" customHeight="1">
      <c r="A35" s="10">
        <v>1</v>
      </c>
      <c r="B35" s="11" t="s">
        <v>167</v>
      </c>
      <c r="C35" s="11"/>
      <c r="D35" s="11" t="str">
        <f ca="1">IFERROR(__xludf.DUMMYFUNCTION("GOOGLETRANSLATE(B35,(""auto""),(""es""))"),"Desenchufe el conector del interruptor izquierdo conector del arnés desenchufe")</f>
        <v>Desenchufe el conector del interruptor izquierdo conector del arnés desenchufe</v>
      </c>
      <c r="E35" s="11" t="str">
        <f ca="1">IFERROR(__xludf.DUMMYFUNCTION("GOOGLETRANSLATE(B35,(""auto""),(""FR""))"),"Débranchez le connecteur de l'assemblage de l'interrupteur gauche")</f>
        <v>Débranchez le connecteur de l'assemblage de l'interrupteur gauche</v>
      </c>
      <c r="F35" s="11" t="str">
        <f ca="1">IFERROR(__xludf.DUMMYFUNCTION("GOOGLETRANSLATE(B35,(""auto""),(""IT""))"),"Unplug Connettore di assemblaggio di interruttore sinistro Bracking")</f>
        <v>Unplug Connettore di assemblaggio di interruttore sinistro Bracking</v>
      </c>
    </row>
    <row r="36" spans="1:27" ht="66.75" customHeight="1">
      <c r="A36" s="10">
        <v>2</v>
      </c>
      <c r="B36" s="11" t="s">
        <v>168</v>
      </c>
      <c r="C36" s="11"/>
      <c r="D36" s="11" t="str">
        <f ca="1">IFERROR(__xludf.DUMMYFUNCTION("GOOGLETRANSLATE(B36,(""auto""),(""es""))"),"Retire el perno de retención del conjunto de la bomba superior del freno derecho con una llave de 8 mm")</f>
        <v>Retire el perno de retención del conjunto de la bomba superior del freno derecho con una llave de 8 mm</v>
      </c>
      <c r="E36" s="11" t="str">
        <f ca="1">IFERROR(__xludf.DUMMYFUNCTION("GOOGLETRANSLATE(B36,(""auto""),(""FR""))"),"Retirez le boulon de retenue de la pompe supérieure du frein droit avec une clé de 8 mm")</f>
        <v>Retirez le boulon de retenue de la pompe supérieure du frein droit avec une clé de 8 mm</v>
      </c>
      <c r="F36" s="11" t="str">
        <f ca="1">IFERROR(__xludf.DUMMYFUNCTION("GOOGLETRANSLATE(B36,(""auto""),(""IT""))"),"Rimuovere il bullone di fissaggio della pompa superiore freno destro con una chiave a 8 mm")</f>
        <v>Rimuovere il bullone di fissaggio della pompa superiore freno destro con una chiave a 8 mm</v>
      </c>
    </row>
    <row r="37" spans="1:27" ht="66.75" customHeight="1">
      <c r="A37" s="10">
        <v>3</v>
      </c>
      <c r="B37" s="11" t="s">
        <v>169</v>
      </c>
      <c r="C37" s="11"/>
      <c r="D37" s="11" t="str">
        <f ca="1">IFERROR(__xludf.DUMMYFUNCTION("GOOGLETRANSLATE(B37,(""auto""),(""es""))"),"Retire los 2 tornillos en el conjunto del interruptor izquierdo con un destornillador de Phillips (marcado en la figura)")</f>
        <v>Retire los 2 tornillos en el conjunto del interruptor izquierdo con un destornillador de Phillips (marcado en la figura)</v>
      </c>
      <c r="E37" s="11" t="str">
        <f ca="1">IFERROR(__xludf.DUMMYFUNCTION("GOOGLETRANSLATE(B37,(""auto""),(""FR""))"),"Retirez les 2 vis dans l'ensemble de l'interrupteur gauche avec un tournevis Phillips (marqué sur la figure)")</f>
        <v>Retirez les 2 vis dans l'ensemble de l'interrupteur gauche avec un tournevis Phillips (marqué sur la figure)</v>
      </c>
      <c r="F37" s="11" t="str">
        <f ca="1">IFERROR(__xludf.DUMMYFUNCTION("GOOGLETRANSLATE(B37,(""auto""),(""IT""))"),"Rimuovere le 2 viti nel gruppo interruttore sinistro con un cacciavite Phillips (contrassegnato nella figura)")</f>
        <v>Rimuovere le 2 viti nel gruppo interruttore sinistro con un cacciavite Phillips (contrassegnato nella figura)</v>
      </c>
    </row>
    <row r="38" spans="1:27">
      <c r="A38" s="68"/>
      <c r="B38" s="68" t="s">
        <v>170</v>
      </c>
      <c r="C38" s="68"/>
      <c r="D38" s="68" t="str">
        <f ca="1">IFERROR(__xludf.DUMMYFUNCTION("GOOGLETRANSLATE(B38,(""auto""),(""es""))"),"A5 -converter")</f>
        <v>A5 -converter</v>
      </c>
      <c r="E38" s="68" t="str">
        <f ca="1">IFERROR(__xludf.DUMMYFUNCTION("GOOGLETRANSLATE(B38,(""auto""),(""FR""))"),"Convertisseur A5")</f>
        <v>Convertisseur A5</v>
      </c>
      <c r="F38" s="68" t="str">
        <f ca="1">IFERROR(__xludf.DUMMYFUNCTION("GOOGLETRANSLATE(B38,(""auto""),(""IT""))"),"A5 -Converter")</f>
        <v>A5 -Converter</v>
      </c>
      <c r="G38" s="12"/>
      <c r="H38" s="12"/>
      <c r="I38" s="12"/>
      <c r="J38" s="12"/>
      <c r="K38" s="12"/>
      <c r="L38" s="12"/>
      <c r="M38" s="12"/>
      <c r="N38" s="12"/>
      <c r="O38" s="12"/>
      <c r="P38" s="12"/>
      <c r="Q38" s="12"/>
      <c r="R38" s="12"/>
      <c r="S38" s="12"/>
      <c r="T38" s="12"/>
      <c r="U38" s="12"/>
      <c r="V38" s="12"/>
      <c r="W38" s="12"/>
      <c r="X38" s="12"/>
      <c r="Y38" s="12"/>
      <c r="Z38" s="12"/>
      <c r="AA38" s="12"/>
    </row>
    <row r="39" spans="1:27" ht="15.75" customHeight="1">
      <c r="A39" s="69" t="s">
        <v>145</v>
      </c>
      <c r="B39" s="70" t="s">
        <v>146</v>
      </c>
      <c r="C39" s="70" t="s">
        <v>147</v>
      </c>
      <c r="D39" s="70" t="str">
        <f ca="1">IFERROR(__xludf.DUMMYFUNCTION("GOOGLETRANSLATE(B39,(""auto""),(""es""))"),"Preparación:")</f>
        <v>Preparación:</v>
      </c>
      <c r="E39" s="70" t="str">
        <f ca="1">IFERROR(__xludf.DUMMYFUNCTION("GOOGLETRANSLATE(C39,(""auto""),(""fr""))"),"Remarques")</f>
        <v>Remarques</v>
      </c>
      <c r="F39" s="70" t="str">
        <f ca="1">IFERROR(__xludf.DUMMYFUNCTION("GOOGLETRANSLATE(D39,(""auto""),(""IT""))"),"Preparazione:")</f>
        <v>Preparazione:</v>
      </c>
    </row>
    <row r="40" spans="1:27">
      <c r="A40" s="10">
        <v>1</v>
      </c>
      <c r="B40" s="11" t="s">
        <v>156</v>
      </c>
      <c r="C40" s="11"/>
      <c r="D40" s="11" t="str">
        <f ca="1">IFERROR(__xludf.DUMMYFUNCTION("GOOGLETRANSLATE(B40,(""auto""),(""es""))"),"Retire la canasta delantera - B0")</f>
        <v>Retire la canasta delantera - B0</v>
      </c>
      <c r="E40" s="11" t="str">
        <f ca="1">IFERROR(__xludf.DUMMYFUNCTION("GOOGLETRANSLATE(B40,(""auto""),(""FR""))"),"Retirez le panier avant - B0")</f>
        <v>Retirez le panier avant - B0</v>
      </c>
      <c r="F40" s="11" t="str">
        <f ca="1">IFERROR(__xludf.DUMMYFUNCTION("GOOGLETRANSLATE(B40,(""auto""),(""IT""))"),"Rimuovere il cestino anteriore - B0")</f>
        <v>Rimuovere il cestino anteriore - B0</v>
      </c>
    </row>
    <row r="41" spans="1:27">
      <c r="A41" s="10">
        <v>2</v>
      </c>
      <c r="B41" s="11" t="s">
        <v>149</v>
      </c>
      <c r="C41" s="11"/>
      <c r="D41" s="11" t="str">
        <f ca="1">IFERROR(__xludf.DUMMYFUNCTION("GOOGLETRANSLATE(B41,(""auto""),(""es""))"),"Retire la cubierta frontal - B1")</f>
        <v>Retire la cubierta frontal - B1</v>
      </c>
      <c r="E41" s="11" t="str">
        <f ca="1">IFERROR(__xludf.DUMMYFUNCTION("GOOGLETRANSLATE(B41,(""auto""),(""FR""))"),"Retirez le couvercle avant - B1")</f>
        <v>Retirez le couvercle avant - B1</v>
      </c>
      <c r="F41" s="11" t="str">
        <f ca="1">IFERROR(__xludf.DUMMYFUNCTION("GOOGLETRANSLATE(B41,(""auto""),(""IT""))"),"Rimuovere il coperchio anteriore - B1")</f>
        <v>Rimuovere il coperchio anteriore - B1</v>
      </c>
    </row>
    <row r="42" spans="1:27" ht="15.75" customHeight="1">
      <c r="A42" s="69" t="s">
        <v>150</v>
      </c>
      <c r="B42" s="70" t="s">
        <v>151</v>
      </c>
      <c r="C42" s="70" t="s">
        <v>152</v>
      </c>
      <c r="D42" s="70" t="str">
        <f ca="1">IFERROR(__xludf.DUMMYFUNCTION("GOOGLETRANSLATE(B42,(""auto""),(""es""))"),"Descripción")</f>
        <v>Descripción</v>
      </c>
      <c r="E42" s="70" t="str">
        <f ca="1">IFERROR(__xludf.DUMMYFUNCTION("GOOGLETRANSLATE(B42,(""auto""),(""fr""))"),"Description")</f>
        <v>Description</v>
      </c>
      <c r="F42" s="70" t="str">
        <f ca="1">IFERROR(__xludf.DUMMYFUNCTION("GOOGLETRANSLATE(D42,(""auto""),(""IT""))"),"Descrizione")</f>
        <v>Descrizione</v>
      </c>
      <c r="G42" s="12"/>
      <c r="H42" s="12"/>
      <c r="I42" s="12"/>
      <c r="J42" s="12"/>
      <c r="K42" s="12"/>
      <c r="L42" s="12"/>
      <c r="M42" s="12"/>
      <c r="N42" s="12"/>
      <c r="O42" s="12"/>
      <c r="P42" s="12"/>
      <c r="Q42" s="12"/>
      <c r="R42" s="12"/>
      <c r="S42" s="12"/>
      <c r="T42" s="12"/>
      <c r="U42" s="12"/>
      <c r="V42" s="12"/>
      <c r="W42" s="12"/>
      <c r="X42" s="12"/>
      <c r="Y42" s="12"/>
      <c r="Z42" s="12"/>
      <c r="AA42" s="12"/>
    </row>
    <row r="43" spans="1:27" ht="15.75" customHeight="1">
      <c r="A43" s="10">
        <v>1</v>
      </c>
      <c r="B43" s="11" t="s">
        <v>171</v>
      </c>
      <c r="C43" s="11"/>
      <c r="D43" s="11" t="str">
        <f ca="1">IFERROR(__xludf.DUMMYFUNCTION("GOOGLETRANSLATE(B43,(""auto""),(""es""))"),"Retire los dos tornillos en el círculo rojo con un destornillador de Phillips")</f>
        <v>Retire los dos tornillos en el círculo rojo con un destornillador de Phillips</v>
      </c>
      <c r="E43" s="11" t="str">
        <f ca="1">IFERROR(__xludf.DUMMYFUNCTION("GOOGLETRANSLATE(B43,(""auto""),(""FR""))"),"Retirez les deux vis dans le cercle rouge avec un tournevis Phillips")</f>
        <v>Retirez les deux vis dans le cercle rouge avec un tournevis Phillips</v>
      </c>
      <c r="F43" s="11" t="str">
        <f ca="1">IFERROR(__xludf.DUMMYFUNCTION("GOOGLETRANSLATE(B43,(""auto""),(""IT""))"),"Rimuovere le due viti nel cerchio rosso con un cacciavite Phillips")</f>
        <v>Rimuovere le due viti nel cerchio rosso con un cacciavite Phillips</v>
      </c>
    </row>
    <row r="44" spans="1:27" ht="15.75" customHeight="1">
      <c r="A44" s="10">
        <v>2</v>
      </c>
      <c r="B44" s="11" t="s">
        <v>172</v>
      </c>
      <c r="C44" s="11"/>
      <c r="D44" s="11" t="str">
        <f ca="1">IFERROR(__xludf.DUMMYFUNCTION("GOOGLETRANSLATE(B44,(""auto""),(""es""))"),"Desenchufe el conector convertidor.")</f>
        <v>Desenchufe el conector convertidor.</v>
      </c>
      <c r="E44" s="11" t="str">
        <f ca="1">IFERROR(__xludf.DUMMYFUNCTION("GOOGLETRANSLATE(B44,(""auto""),(""FR""))"),"Débranchez le connecteur du convertisseur.")</f>
        <v>Débranchez le connecteur du convertisseur.</v>
      </c>
      <c r="F44" s="11" t="str">
        <f ca="1">IFERROR(__xludf.DUMMYFUNCTION("GOOGLETRANSLATE(B44,(""auto""),(""IT""))"),"Scollegare il connettore del convertitore.")</f>
        <v>Scollegare il connettore del convertitore.</v>
      </c>
    </row>
    <row r="45" spans="1:27">
      <c r="A45" s="68"/>
      <c r="B45" s="68" t="s">
        <v>173</v>
      </c>
      <c r="C45" s="68"/>
      <c r="D45" s="68" t="str">
        <f ca="1">IFERROR(__xludf.DUMMYFUNCTION("GOOGLETRANSLATE(B45,(""auto""),(""es""))"),"A6 - alarma")</f>
        <v>A6 - alarma</v>
      </c>
      <c r="E45" s="68" t="str">
        <f ca="1">IFERROR(__xludf.DUMMYFUNCTION("GOOGLETRANSLATE(B45,(""auto""),(""FR""))"),"A6 - Alarme")</f>
        <v>A6 - Alarme</v>
      </c>
      <c r="F45" s="68" t="str">
        <f ca="1">IFERROR(__xludf.DUMMYFUNCTION("GOOGLETRANSLATE(B45,(""auto""),(""IT""))"),"A6 - Allarme")</f>
        <v>A6 - Allarme</v>
      </c>
      <c r="G45" s="12"/>
      <c r="H45" s="12"/>
      <c r="I45" s="12"/>
      <c r="J45" s="12"/>
      <c r="K45" s="12"/>
      <c r="L45" s="12"/>
      <c r="M45" s="12"/>
      <c r="N45" s="12"/>
      <c r="O45" s="12"/>
      <c r="P45" s="12"/>
      <c r="Q45" s="12"/>
      <c r="R45" s="12"/>
      <c r="S45" s="12"/>
      <c r="T45" s="12"/>
      <c r="U45" s="12"/>
      <c r="V45" s="12"/>
      <c r="W45" s="12"/>
      <c r="X45" s="12"/>
      <c r="Y45" s="12"/>
      <c r="Z45" s="12"/>
      <c r="AA45" s="12"/>
    </row>
    <row r="46" spans="1:27" ht="15.75" customHeight="1">
      <c r="A46" s="69" t="s">
        <v>145</v>
      </c>
      <c r="B46" s="70" t="s">
        <v>146</v>
      </c>
      <c r="C46" s="70" t="s">
        <v>147</v>
      </c>
      <c r="D46" s="70" t="str">
        <f ca="1">IFERROR(__xludf.DUMMYFUNCTION("GOOGLETRANSLATE(B46,(""auto""),(""es""))"),"Preparación:")</f>
        <v>Preparación:</v>
      </c>
      <c r="E46" s="70" t="str">
        <f ca="1">IFERROR(__xludf.DUMMYFUNCTION("GOOGLETRANSLATE(C46,(""auto""),(""fr""))"),"Remarques")</f>
        <v>Remarques</v>
      </c>
      <c r="F46" s="70" t="str">
        <f ca="1">IFERROR(__xludf.DUMMYFUNCTION("GOOGLETRANSLATE(D46,(""auto""),(""IT""))"),"Preparazione:")</f>
        <v>Preparazione:</v>
      </c>
    </row>
    <row r="47" spans="1:27" ht="15.75" customHeight="1">
      <c r="A47" s="10">
        <v>1</v>
      </c>
      <c r="B47" s="11" t="s">
        <v>156</v>
      </c>
      <c r="C47" s="11"/>
      <c r="D47" s="11" t="str">
        <f ca="1">IFERROR(__xludf.DUMMYFUNCTION("GOOGLETRANSLATE(B47,(""auto""),(""es""))"),"Retire la canasta delantera - B0")</f>
        <v>Retire la canasta delantera - B0</v>
      </c>
      <c r="E47" s="11" t="str">
        <f ca="1">IFERROR(__xludf.DUMMYFUNCTION("GOOGLETRANSLATE(B47,(""auto""),(""FR""))"),"Retirez le panier avant - B0")</f>
        <v>Retirez le panier avant - B0</v>
      </c>
      <c r="F47" s="11" t="str">
        <f ca="1">IFERROR(__xludf.DUMMYFUNCTION("GOOGLETRANSLATE(B47,(""auto""),(""IT""))"),"Rimuovere il cestino anteriore - B0")</f>
        <v>Rimuovere il cestino anteriore - B0</v>
      </c>
    </row>
    <row r="48" spans="1:27" ht="15.75" customHeight="1">
      <c r="A48" s="10">
        <v>2</v>
      </c>
      <c r="B48" s="11" t="s">
        <v>149</v>
      </c>
      <c r="C48" s="11"/>
      <c r="D48" s="11" t="str">
        <f ca="1">IFERROR(__xludf.DUMMYFUNCTION("GOOGLETRANSLATE(B48,(""auto""),(""es""))"),"Retire la cubierta frontal - B1")</f>
        <v>Retire la cubierta frontal - B1</v>
      </c>
      <c r="E48" s="11" t="str">
        <f ca="1">IFERROR(__xludf.DUMMYFUNCTION("GOOGLETRANSLATE(B48,(""auto""),(""FR""))"),"Retirez le couvercle avant - B1")</f>
        <v>Retirez le couvercle avant - B1</v>
      </c>
      <c r="F48" s="11" t="str">
        <f ca="1">IFERROR(__xludf.DUMMYFUNCTION("GOOGLETRANSLATE(B48,(""auto""),(""IT""))"),"Rimuovere il coperchio anteriore - B1")</f>
        <v>Rimuovere il coperchio anteriore - B1</v>
      </c>
    </row>
    <row r="49" spans="1:27" ht="15.75" customHeight="1">
      <c r="A49" s="69" t="s">
        <v>150</v>
      </c>
      <c r="B49" s="70" t="s">
        <v>151</v>
      </c>
      <c r="C49" s="70" t="s">
        <v>152</v>
      </c>
      <c r="D49" s="70" t="str">
        <f ca="1">IFERROR(__xludf.DUMMYFUNCTION("GOOGLETRANSLATE(B49,(""auto""),(""es""))"),"Descripción")</f>
        <v>Descripción</v>
      </c>
      <c r="E49" s="70" t="str">
        <f ca="1">IFERROR(__xludf.DUMMYFUNCTION("GOOGLETRANSLATE(B49,(""auto""),(""fr""))"),"Description")</f>
        <v>Description</v>
      </c>
      <c r="F49" s="70" t="str">
        <f ca="1">IFERROR(__xludf.DUMMYFUNCTION("GOOGLETRANSLATE(D49,(""auto""),(""IT""))"),"Descrizione")</f>
        <v>Descrizione</v>
      </c>
      <c r="G49" s="12"/>
      <c r="H49" s="12"/>
      <c r="I49" s="12"/>
      <c r="J49" s="12"/>
      <c r="K49" s="12"/>
      <c r="L49" s="12"/>
      <c r="M49" s="12"/>
      <c r="N49" s="12"/>
      <c r="O49" s="12"/>
      <c r="P49" s="12"/>
      <c r="Q49" s="12"/>
      <c r="R49" s="12"/>
      <c r="S49" s="12"/>
      <c r="T49" s="12"/>
      <c r="U49" s="12"/>
      <c r="V49" s="12"/>
      <c r="W49" s="12"/>
      <c r="X49" s="12"/>
      <c r="Y49" s="12"/>
      <c r="Z49" s="12"/>
      <c r="AA49" s="12"/>
    </row>
    <row r="50" spans="1:27" ht="15.75" customHeight="1">
      <c r="A50" s="10">
        <v>1</v>
      </c>
      <c r="B50" s="11" t="s">
        <v>174</v>
      </c>
      <c r="C50" s="11"/>
      <c r="D50" s="11" t="str">
        <f ca="1">IFERROR(__xludf.DUMMYFUNCTION("GOOGLETRANSLATE(B50,(""auto""),(""es""))"),"La flecha señala los componentes es la alarma, con un destornillador para quitar dos tornillos")</f>
        <v>La flecha señala los componentes es la alarma, con un destornillador para quitar dos tornillos</v>
      </c>
      <c r="E50" s="11" t="str">
        <f ca="1">IFERROR(__xludf.DUMMYFUNCTION("GOOGLETRANSLATE(B50,(""auto""),(""FR""))"),"La flèche pointe vers les composants est l'alarme, avec un tournevis pour retirer deux vis")</f>
        <v>La flèche pointe vers les composants est l'alarme, avec un tournevis pour retirer deux vis</v>
      </c>
      <c r="F50" s="11" t="str">
        <f ca="1">IFERROR(__xludf.DUMMYFUNCTION("GOOGLETRANSLATE(B50,(""auto""),(""IT""))"),"I punti freccia ai componenti sono l'allarme, con un cacciavite per rimuovere due viti")</f>
        <v>I punti freccia ai componenti sono l'allarme, con un cacciavite per rimuovere due viti</v>
      </c>
    </row>
    <row r="51" spans="1:27">
      <c r="A51" s="68"/>
      <c r="B51" s="68" t="s">
        <v>175</v>
      </c>
      <c r="C51" s="68"/>
      <c r="D51" s="68" t="s">
        <v>176</v>
      </c>
      <c r="E51" s="68" t="s">
        <v>177</v>
      </c>
      <c r="F51" s="68" t="s">
        <v>178</v>
      </c>
      <c r="G51" s="12"/>
      <c r="H51" s="12"/>
      <c r="I51" s="12"/>
      <c r="J51" s="12"/>
      <c r="K51" s="12"/>
      <c r="L51" s="12"/>
      <c r="M51" s="12"/>
      <c r="N51" s="12"/>
      <c r="O51" s="12"/>
      <c r="P51" s="12"/>
      <c r="Q51" s="12"/>
      <c r="R51" s="12"/>
      <c r="S51" s="12"/>
      <c r="T51" s="12"/>
      <c r="U51" s="12"/>
      <c r="V51" s="12"/>
      <c r="W51" s="12"/>
      <c r="X51" s="12"/>
      <c r="Y51" s="12"/>
      <c r="Z51" s="12"/>
      <c r="AA51" s="12"/>
    </row>
    <row r="52" spans="1:27" ht="15.75" customHeight="1">
      <c r="A52" s="69" t="s">
        <v>145</v>
      </c>
      <c r="B52" s="70" t="s">
        <v>146</v>
      </c>
      <c r="C52" s="70" t="s">
        <v>147</v>
      </c>
      <c r="D52" s="70" t="str">
        <f ca="1">IFERROR(__xludf.DUMMYFUNCTION("GOOGLETRANSLATE(B52,(""auto""),(""es""))"),"Preparación:")</f>
        <v>Preparación:</v>
      </c>
      <c r="E52" s="70" t="str">
        <f ca="1">IFERROR(__xludf.DUMMYFUNCTION("GOOGLETRANSLATE(C52,(""auto""),(""fr""))"),"Remarques")</f>
        <v>Remarques</v>
      </c>
      <c r="F52" s="70" t="str">
        <f ca="1">IFERROR(__xludf.DUMMYFUNCTION("GOOGLETRANSLATE(D52,(""auto""),(""IT""))"),"Preparazione:")</f>
        <v>Preparazione:</v>
      </c>
    </row>
    <row r="53" spans="1:27" ht="15.75" customHeight="1">
      <c r="A53" s="10">
        <v>1</v>
      </c>
      <c r="B53" s="11" t="s">
        <v>156</v>
      </c>
      <c r="C53" s="11"/>
      <c r="D53" s="11" t="str">
        <f ca="1">IFERROR(__xludf.DUMMYFUNCTION("GOOGLETRANSLATE(B53,(""auto""),(""es""))"),"Retire la canasta delantera - B0")</f>
        <v>Retire la canasta delantera - B0</v>
      </c>
      <c r="E53" s="11" t="str">
        <f ca="1">IFERROR(__xludf.DUMMYFUNCTION("GOOGLETRANSLATE(B53,(""auto""),(""FR""))"),"Retirez le panier avant - B0")</f>
        <v>Retirez le panier avant - B0</v>
      </c>
      <c r="F53" s="11" t="str">
        <f ca="1">IFERROR(__xludf.DUMMYFUNCTION("GOOGLETRANSLATE(B53,(""auto""),(""IT""))"),"Rimuovere il cestino anteriore - B0")</f>
        <v>Rimuovere il cestino anteriore - B0</v>
      </c>
    </row>
    <row r="54" spans="1:27" ht="15.75" customHeight="1">
      <c r="A54" s="10">
        <v>2</v>
      </c>
      <c r="B54" s="11" t="s">
        <v>149</v>
      </c>
      <c r="C54" s="11"/>
      <c r="D54" s="11" t="str">
        <f ca="1">IFERROR(__xludf.DUMMYFUNCTION("GOOGLETRANSLATE(B54,(""auto""),(""es""))"),"Retire la cubierta frontal - B1")</f>
        <v>Retire la cubierta frontal - B1</v>
      </c>
      <c r="E54" s="11" t="str">
        <f ca="1">IFERROR(__xludf.DUMMYFUNCTION("GOOGLETRANSLATE(B54,(""auto""),(""FR""))"),"Retirez le couvercle avant - B1")</f>
        <v>Retirez le couvercle avant - B1</v>
      </c>
      <c r="F54" s="11" t="str">
        <f ca="1">IFERROR(__xludf.DUMMYFUNCTION("GOOGLETRANSLATE(B54,(""auto""),(""IT""))"),"Rimuovere il coperchio anteriore - B1")</f>
        <v>Rimuovere il coperchio anteriore - B1</v>
      </c>
    </row>
    <row r="55" spans="1:27" ht="15.75" customHeight="1">
      <c r="A55" s="69" t="s">
        <v>150</v>
      </c>
      <c r="B55" s="70" t="s">
        <v>151</v>
      </c>
      <c r="C55" s="70" t="s">
        <v>152</v>
      </c>
      <c r="D55" s="70" t="str">
        <f ca="1">IFERROR(__xludf.DUMMYFUNCTION("GOOGLETRANSLATE(B55,(""auto""),(""es""))"),"Descripción")</f>
        <v>Descripción</v>
      </c>
      <c r="E55" s="70" t="str">
        <f ca="1">IFERROR(__xludf.DUMMYFUNCTION("GOOGLETRANSLATE(B55,(""auto""),(""fr""))"),"Description")</f>
        <v>Description</v>
      </c>
      <c r="F55" s="70" t="str">
        <f ca="1">IFERROR(__xludf.DUMMYFUNCTION("GOOGLETRANSLATE(D55,(""auto""),(""IT""))"),"Descrizione")</f>
        <v>Descrizione</v>
      </c>
      <c r="G55" s="12"/>
      <c r="H55" s="12"/>
      <c r="I55" s="12"/>
      <c r="J55" s="12"/>
      <c r="K55" s="12"/>
      <c r="L55" s="12"/>
      <c r="M55" s="12"/>
      <c r="N55" s="12"/>
      <c r="O55" s="12"/>
      <c r="P55" s="12"/>
      <c r="Q55" s="12"/>
      <c r="R55" s="12"/>
      <c r="S55" s="12"/>
      <c r="T55" s="12"/>
      <c r="U55" s="12"/>
      <c r="V55" s="12"/>
      <c r="W55" s="12"/>
      <c r="X55" s="12"/>
      <c r="Y55" s="12"/>
      <c r="Z55" s="12"/>
      <c r="AA55" s="12"/>
    </row>
    <row r="56" spans="1:27" ht="114" customHeight="1">
      <c r="A56" s="10">
        <v>1</v>
      </c>
      <c r="B56" s="11" t="s">
        <v>179</v>
      </c>
      <c r="C56" s="11"/>
      <c r="D56" s="11" t="str">
        <f ca="1">IFERROR(__xludf.DUMMYFUNCTION("GOOGLETRANSLATE(B56,(""auto""),(""es""))"),"
Desenchufar el conector de la bocina")</f>
        <v xml:space="preserve">
Desenchufar el conector de la bocina</v>
      </c>
      <c r="E56" s="11" t="str">
        <f ca="1">IFERROR(__xludf.DUMMYFUNCTION("GOOGLETRANSLATE(B56,(""auto""),(""FR""))"),"
Débranchez le connecteur du klaxon")</f>
        <v xml:space="preserve">
Débranchez le connecteur du klaxon</v>
      </c>
      <c r="F56" s="11" t="str">
        <f ca="1">IFERROR(__xludf.DUMMYFUNCTION("GOOGLETRANSLATE(B56,(""auto""),(""IT""))"),"
Scollegare il connettore del corno")</f>
        <v xml:space="preserve">
Scollegare il connettore del corno</v>
      </c>
    </row>
    <row r="57" spans="1:27" ht="92.25" customHeight="1">
      <c r="A57" s="10">
        <v>2</v>
      </c>
      <c r="B57" s="11" t="s">
        <v>180</v>
      </c>
      <c r="C57" s="11"/>
      <c r="D57" s="11" t="str">
        <f ca="1">IFERROR(__xludf.DUMMYFUNCTION("GOOGLETRANSLATE(B57,(""auto""),(""es""))"),"
Retire los pernos de fijación del soporte de la bocina con una llave de zócalo de 10 mm y retire la bocina")</f>
        <v xml:space="preserve">
Retire los pernos de fijación del soporte de la bocina con una llave de zócalo de 10 mm y retire la bocina</v>
      </c>
      <c r="E57" s="11" t="str">
        <f ca="1">IFERROR(__xludf.DUMMYFUNCTION("GOOGLETRANSLATE(B57,(""auto""),(""FR""))"),"
Retirez les boulons de fixation du support de corne avec une clé à douille de 10 mm et retirez la corne")</f>
        <v xml:space="preserve">
Retirez les boulons de fixation du support de corne avec une clé à douille de 10 mm et retirez la corne</v>
      </c>
      <c r="F57" s="11" t="str">
        <f ca="1">IFERROR(__xludf.DUMMYFUNCTION("GOOGLETRANSLATE(B57,(""auto""),(""IT""))"),"
Rimuovere i bulloni di fissaggio della staffa del corno con una chiave di presa da 10 mm e rimuovere il corno")</f>
        <v xml:space="preserve">
Rimuovere i bulloni di fissaggio della staffa del corno con una chiave di presa da 10 mm e rimuovere il corno</v>
      </c>
    </row>
    <row r="58" spans="1:27">
      <c r="A58" s="68"/>
      <c r="B58" s="68" t="s">
        <v>181</v>
      </c>
      <c r="C58" s="68"/>
      <c r="D58" s="72" t="str">
        <f ca="1">IFERROR(__xludf.DUMMYFUNCTION("GOOGLETRANSLATE(B58,(""auto""),(""es""))"),"A8 - Flasher")</f>
        <v>A8 - Flasher</v>
      </c>
      <c r="E58" s="68" t="str">
        <f ca="1">IFERROR(__xludf.DUMMYFUNCTION("GOOGLETRANSLATE(D58,(""auto""),(""fr""))"),"A8 - Flasher")</f>
        <v>A8 - Flasher</v>
      </c>
      <c r="F58" s="68" t="str">
        <f ca="1">IFERROR(__xludf.DUMMYFUNCTION("GOOGLETRANSLATE(E58,(""auto""),(""it""))"),"A8 - lampeggiatore")</f>
        <v>A8 - lampeggiatore</v>
      </c>
      <c r="G58" s="12"/>
      <c r="H58" s="12"/>
      <c r="I58" s="12"/>
      <c r="J58" s="12"/>
      <c r="K58" s="12"/>
      <c r="L58" s="12"/>
      <c r="M58" s="12"/>
      <c r="N58" s="12"/>
      <c r="O58" s="12"/>
      <c r="P58" s="12"/>
      <c r="Q58" s="12"/>
      <c r="R58" s="12"/>
      <c r="S58" s="12"/>
      <c r="T58" s="12"/>
      <c r="U58" s="12"/>
      <c r="V58" s="12"/>
      <c r="W58" s="12"/>
      <c r="X58" s="12"/>
      <c r="Y58" s="12"/>
      <c r="Z58" s="12"/>
      <c r="AA58" s="12"/>
    </row>
    <row r="59" spans="1:27" ht="15.75" customHeight="1">
      <c r="A59" s="69" t="s">
        <v>145</v>
      </c>
      <c r="B59" s="70" t="s">
        <v>146</v>
      </c>
      <c r="C59" s="70" t="s">
        <v>147</v>
      </c>
      <c r="D59" s="70" t="str">
        <f ca="1">IFERROR(__xludf.DUMMYFUNCTION("GOOGLETRANSLATE(B59,(""auto""),(""es""))"),"Preparación:")</f>
        <v>Preparación:</v>
      </c>
      <c r="E59" s="70" t="str">
        <f ca="1">IFERROR(__xludf.DUMMYFUNCTION("GOOGLETRANSLATE(C59,(""auto""),(""fr""))"),"Remarques")</f>
        <v>Remarques</v>
      </c>
      <c r="F59" s="70" t="str">
        <f ca="1">IFERROR(__xludf.DUMMYFUNCTION("GOOGLETRANSLATE(D59,(""auto""),(""IT""))"),"Preparazione:")</f>
        <v>Preparazione:</v>
      </c>
    </row>
    <row r="60" spans="1:27" ht="15.75" customHeight="1">
      <c r="A60" s="10">
        <v>1</v>
      </c>
      <c r="B60" s="11" t="s">
        <v>156</v>
      </c>
      <c r="C60" s="11"/>
      <c r="D60" s="11" t="str">
        <f ca="1">IFERROR(__xludf.DUMMYFUNCTION("GOOGLETRANSLATE(B60,(""auto""),(""es""))"),"Retire la canasta delantera - B0")</f>
        <v>Retire la canasta delantera - B0</v>
      </c>
      <c r="E60" s="11" t="str">
        <f ca="1">IFERROR(__xludf.DUMMYFUNCTION("GOOGLETRANSLATE(B60,(""auto""),(""FR""))"),"Retirez le panier avant - B0")</f>
        <v>Retirez le panier avant - B0</v>
      </c>
      <c r="F60" s="11" t="str">
        <f ca="1">IFERROR(__xludf.DUMMYFUNCTION("GOOGLETRANSLATE(B60,(""auto""),(""IT""))"),"Rimuovere il cestino anteriore - B0")</f>
        <v>Rimuovere il cestino anteriore - B0</v>
      </c>
    </row>
    <row r="61" spans="1:27" ht="15.75" customHeight="1">
      <c r="A61" s="10">
        <v>2</v>
      </c>
      <c r="B61" s="11" t="s">
        <v>149</v>
      </c>
      <c r="C61" s="11"/>
      <c r="D61" s="11" t="str">
        <f ca="1">IFERROR(__xludf.DUMMYFUNCTION("GOOGLETRANSLATE(B61,(""auto""),(""es""))"),"Retire la cubierta frontal - B1")</f>
        <v>Retire la cubierta frontal - B1</v>
      </c>
      <c r="E61" s="11" t="str">
        <f ca="1">IFERROR(__xludf.DUMMYFUNCTION("GOOGLETRANSLATE(B61,(""auto""),(""FR""))"),"Retirez le couvercle avant - B1")</f>
        <v>Retirez le couvercle avant - B1</v>
      </c>
      <c r="F61" s="11" t="str">
        <f ca="1">IFERROR(__xludf.DUMMYFUNCTION("GOOGLETRANSLATE(B61,(""auto""),(""IT""))"),"Rimuovere il coperchio anteriore - B1")</f>
        <v>Rimuovere il coperchio anteriore - B1</v>
      </c>
    </row>
    <row r="62" spans="1:27" ht="15.75" customHeight="1">
      <c r="A62" s="69" t="s">
        <v>150</v>
      </c>
      <c r="B62" s="70" t="s">
        <v>151</v>
      </c>
      <c r="C62" s="70" t="s">
        <v>152</v>
      </c>
      <c r="D62" s="70" t="str">
        <f ca="1">IFERROR(__xludf.DUMMYFUNCTION("GOOGLETRANSLATE(B62,(""auto""),(""es""))"),"Descripción")</f>
        <v>Descripción</v>
      </c>
      <c r="E62" s="70" t="str">
        <f ca="1">IFERROR(__xludf.DUMMYFUNCTION("GOOGLETRANSLATE(B62,(""auto""),(""fr""))"),"Description")</f>
        <v>Description</v>
      </c>
      <c r="F62" s="70" t="str">
        <f ca="1">IFERROR(__xludf.DUMMYFUNCTION("GOOGLETRANSLATE(D62,(""auto""),(""IT""))"),"Descrizione")</f>
        <v>Descrizione</v>
      </c>
      <c r="G62" s="12"/>
      <c r="H62" s="12"/>
      <c r="I62" s="12"/>
      <c r="J62" s="12"/>
      <c r="K62" s="12"/>
      <c r="L62" s="12"/>
      <c r="M62" s="12"/>
      <c r="N62" s="12"/>
      <c r="O62" s="12"/>
      <c r="P62" s="12"/>
      <c r="Q62" s="12"/>
      <c r="R62" s="12"/>
      <c r="S62" s="12"/>
      <c r="T62" s="12"/>
      <c r="U62" s="12"/>
      <c r="V62" s="12"/>
      <c r="W62" s="12"/>
      <c r="X62" s="12"/>
      <c r="Y62" s="12"/>
      <c r="Z62" s="12"/>
      <c r="AA62" s="12"/>
    </row>
    <row r="63" spans="1:27" ht="90" customHeight="1">
      <c r="A63" s="10">
        <v>1</v>
      </c>
      <c r="B63" s="11" t="s">
        <v>182</v>
      </c>
      <c r="C63" s="11"/>
      <c r="D63" s="11" t="str">
        <f ca="1">IFERROR(__xludf.DUMMYFUNCTION("GOOGLETRANSLATE(B63,(""auto""),(""es""))"),"
Retire el soporte de goma intermitente")</f>
        <v xml:space="preserve">
Retire el soporte de goma intermitente</v>
      </c>
      <c r="E63" s="11" t="str">
        <f ca="1">IFERROR(__xludf.DUMMYFUNCTION("GOOGLETRANSLATE(B63,(""auto""),(""FR""))"),"
Retirez le support de caoutchouc clignot")</f>
        <v xml:space="preserve">
Retirez le support de caoutchouc clignot</v>
      </c>
      <c r="F63" s="11" t="str">
        <f ca="1">IFERROR(__xludf.DUMMYFUNCTION("GOOGLETRANSLATE(B63,(""auto""),(""IT""))"),"
Rimuovere la staffa di gomma lampeggiatore")</f>
        <v xml:space="preserve">
Rimuovere la staffa di gomma lampeggiatore</v>
      </c>
    </row>
    <row r="64" spans="1:27" ht="93.75" customHeight="1">
      <c r="A64" s="10">
        <v>2</v>
      </c>
      <c r="B64" s="11" t="s">
        <v>183</v>
      </c>
      <c r="C64" s="11"/>
      <c r="D64" s="11" t="str">
        <f ca="1">IFERROR(__xludf.DUMMYFUNCTION("GOOGLETRANSLATE(B64,(""auto""),(""es""))"),"
Desenchufe el conector de Flasher y elimine el Flasher")</f>
        <v xml:space="preserve">
Desenchufe el conector de Flasher y elimine el Flasher</v>
      </c>
      <c r="E64" s="11" t="str">
        <f ca="1">IFERROR(__xludf.DUMMYFUNCTION("GOOGLETRANSLATE(B64,(""auto""),(""FR""))"),"
Débranchez le connecteur Flasher et retirez le clignot")</f>
        <v xml:space="preserve">
Débranchez le connecteur Flasher et retirez le clignot</v>
      </c>
      <c r="F64" s="11" t="str">
        <f ca="1">IFERROR(__xludf.DUMMYFUNCTION("GOOGLETRANSLATE(B64,(""auto""),(""IT""))"),"
Scollegare il connettore lampeggiante e rimuovere il lampeggiatore")</f>
        <v xml:space="preserve">
Scollegare il connettore lampeggiante e rimuovere il lampeggiatore</v>
      </c>
    </row>
    <row r="65" spans="1:27">
      <c r="A65" s="68"/>
      <c r="B65" s="68" t="s">
        <v>184</v>
      </c>
      <c r="C65" s="68"/>
      <c r="D65" s="68" t="str">
        <f ca="1">IFERROR(__xludf.DUMMYFUNCTION("GOOGLETRANSLATE(B65,(""auto""),(""es""))"),"A9 - Batería")</f>
        <v>A9 - Batería</v>
      </c>
      <c r="E65" s="68" t="str">
        <f ca="1">IFERROR(__xludf.DUMMYFUNCTION("GOOGLETRANSLATE(B65,(""auto""),(""es""))"),"A9 - Batería")</f>
        <v>A9 - Batería</v>
      </c>
      <c r="F65" s="68" t="str">
        <f ca="1">IFERROR(__xludf.DUMMYFUNCTION("GOOGLETRANSLATE(D65,(""auto""),(""es""))"),"A9 - Batería")</f>
        <v>A9 - Batería</v>
      </c>
      <c r="G65" s="12"/>
      <c r="H65" s="12"/>
      <c r="I65" s="12"/>
      <c r="J65" s="12"/>
      <c r="K65" s="12"/>
      <c r="L65" s="12"/>
      <c r="M65" s="12"/>
      <c r="N65" s="12"/>
      <c r="O65" s="12"/>
      <c r="P65" s="12"/>
      <c r="Q65" s="12"/>
      <c r="R65" s="12"/>
      <c r="S65" s="12"/>
      <c r="T65" s="12"/>
      <c r="U65" s="12"/>
      <c r="V65" s="12"/>
      <c r="W65" s="12"/>
      <c r="X65" s="12"/>
      <c r="Y65" s="12"/>
      <c r="Z65" s="12"/>
      <c r="AA65" s="12"/>
    </row>
    <row r="66" spans="1:27" ht="15.75" customHeight="1">
      <c r="A66" s="69" t="s">
        <v>145</v>
      </c>
      <c r="B66" s="70" t="s">
        <v>146</v>
      </c>
      <c r="C66" s="70" t="s">
        <v>147</v>
      </c>
      <c r="D66" s="70" t="str">
        <f ca="1">IFERROR(__xludf.DUMMYFUNCTION("GOOGLETRANSLATE(B66,(""auto""),(""es""))"),"Preparación:")</f>
        <v>Preparación:</v>
      </c>
      <c r="E66" s="70" t="str">
        <f ca="1">IFERROR(__xludf.DUMMYFUNCTION("GOOGLETRANSLATE(C66,(""auto""),(""fr""))"),"Remarques")</f>
        <v>Remarques</v>
      </c>
      <c r="F66" s="70" t="str">
        <f ca="1">IFERROR(__xludf.DUMMYFUNCTION("GOOGLETRANSLATE(D66,(""auto""),(""IT""))"),"Preparazione:")</f>
        <v>Preparazione:</v>
      </c>
    </row>
    <row r="67" spans="1:27" ht="15.75" customHeight="1">
      <c r="A67" s="10">
        <v>1</v>
      </c>
      <c r="B67" s="11" t="s">
        <v>185</v>
      </c>
      <c r="C67" s="11"/>
      <c r="D67" s="11" t="str">
        <f ca="1">IFERROR(__xludf.DUMMYFUNCTION("GOOGLETRANSLATE(B67,(""auto""),(""es""))"),"Saque la cubierta del compartimento de la batería - B23")</f>
        <v>Saque la cubierta del compartimento de la batería - B23</v>
      </c>
      <c r="E67" s="11" t="str">
        <f ca="1">IFERROR(__xludf.DUMMYFUNCTION("GOOGLETRANSLATE(B67,(""auto""),(""FR""))"),"Sortez le couvercle du compartiment de la batterie - B23")</f>
        <v>Sortez le couvercle du compartiment de la batterie - B23</v>
      </c>
      <c r="F67" s="11" t="str">
        <f ca="1">IFERROR(__xludf.DUMMYFUNCTION("GOOGLETRANSLATE(B67,(""auto""),(""IT""))"),"Elimina la copertura del vano batteria - B23")</f>
        <v>Elimina la copertura del vano batteria - B23</v>
      </c>
    </row>
    <row r="68" spans="1:27" ht="15.75" customHeight="1">
      <c r="A68" s="69" t="s">
        <v>150</v>
      </c>
      <c r="B68" s="70" t="s">
        <v>151</v>
      </c>
      <c r="C68" s="70" t="s">
        <v>152</v>
      </c>
      <c r="D68" s="70" t="str">
        <f ca="1">IFERROR(__xludf.DUMMYFUNCTION("GOOGLETRANSLATE(B68,(""auto""),(""es""))"),"Descripción")</f>
        <v>Descripción</v>
      </c>
      <c r="E68" s="70" t="str">
        <f ca="1">IFERROR(__xludf.DUMMYFUNCTION("GOOGLETRANSLATE(B68,(""auto""),(""fr""))"),"Description")</f>
        <v>Description</v>
      </c>
      <c r="F68" s="70" t="str">
        <f ca="1">IFERROR(__xludf.DUMMYFUNCTION("GOOGLETRANSLATE(D68,(""auto""),(""IT""))"),"Descrizione")</f>
        <v>Descrizione</v>
      </c>
      <c r="G68" s="12"/>
      <c r="H68" s="12"/>
      <c r="I68" s="12"/>
      <c r="J68" s="12"/>
      <c r="K68" s="12"/>
      <c r="L68" s="12"/>
      <c r="M68" s="12"/>
      <c r="N68" s="12"/>
      <c r="O68" s="12"/>
      <c r="P68" s="12"/>
      <c r="Q68" s="12"/>
      <c r="R68" s="12"/>
      <c r="S68" s="12"/>
      <c r="T68" s="12"/>
      <c r="U68" s="12"/>
      <c r="V68" s="12"/>
      <c r="W68" s="12"/>
      <c r="X68" s="12"/>
      <c r="Y68" s="12"/>
      <c r="Z68" s="12"/>
      <c r="AA68" s="12"/>
    </row>
    <row r="69" spans="1:27" ht="15.75" customHeight="1">
      <c r="A69" s="10">
        <v>1</v>
      </c>
      <c r="B69" s="11" t="s">
        <v>186</v>
      </c>
      <c r="C69" s="11"/>
      <c r="D69" s="11" t="str">
        <f ca="1">IFERROR(__xludf.DUMMYFUNCTION("GOOGLETRANSLATE(B69,(""auto""),(""es""))"),"
APAGADO DE APAGADO
")</f>
        <v xml:space="preserve">
APAGADO DE APAGADO
</v>
      </c>
      <c r="E69" s="11" t="str">
        <f ca="1">IFERROR(__xludf.DUMMYFUNCTION("GOOGLETRANSLATE(B69,(""auto""),(""FR""))"),"
Interrupteur d'élevage
")</f>
        <v xml:space="preserve">
Interrupteur d'élevage
</v>
      </c>
      <c r="F69" s="11" t="str">
        <f ca="1">IFERROR(__xludf.DUMMYFUNCTION("GOOGLETRANSLATE(B69,(""auto""),(""IT""))"),"
Interruttore di spegnimento
")</f>
        <v xml:space="preserve">
Interruttore di spegnimento
</v>
      </c>
    </row>
    <row r="70" spans="1:27" ht="15.75" customHeight="1">
      <c r="A70" s="10">
        <v>2</v>
      </c>
      <c r="B70" s="11" t="s">
        <v>187</v>
      </c>
      <c r="C70" s="11"/>
      <c r="D70" s="11" t="str">
        <f ca="1">IFERROR(__xludf.DUMMYFUNCTION("GOOGLETRANSLATE(B70,(""auto""),(""es""))"),"
Interruptor de protección del circuito apagado")</f>
        <v xml:space="preserve">
Interruptor de protección del circuito apagado</v>
      </c>
      <c r="E70" s="11" t="str">
        <f ca="1">IFERROR(__xludf.DUMMYFUNCTION("GOOGLETRANSLATE(B70,(""auto""),(""FR""))"),"
Interrupteur de protection de circuit éteint")</f>
        <v xml:space="preserve">
Interrupteur de protection de circuit éteint</v>
      </c>
      <c r="F70" s="11" t="str">
        <f ca="1">IFERROR(__xludf.DUMMYFUNCTION("GOOGLETRANSLATE(B70,(""auto""),(""IT""))"),"
Interruttore di protezione del circuito di spegnimento")</f>
        <v xml:space="preserve">
Interruttore di protezione del circuito di spegnimento</v>
      </c>
    </row>
    <row r="71" spans="1:27" ht="15.75" customHeight="1">
      <c r="A71" s="10">
        <v>3</v>
      </c>
      <c r="B71" s="11" t="s">
        <v>188</v>
      </c>
      <c r="C71" s="11"/>
      <c r="D71" s="11" t="str">
        <f ca="1">IFERROR(__xludf.DUMMYFUNCTION("GOOGLETRANSLATE(B71,(""auto""),(""es""))"),"
Desatornille la hebilla de curvatura de la batería y quite el cable de conexión de la batería")</f>
        <v xml:space="preserve">
Desatornille la hebilla de curvatura de la batería y quite el cable de conexión de la batería</v>
      </c>
      <c r="E71" s="11" t="str">
        <f ca="1">IFERROR(__xludf.DUMMYFUNCTION("GOOGLETRANSLATE(B71,(""auto""),(""FR""))"),"
Dévissez la boucle de pliage de la batterie et retirez le câble de connexion de la batterie")</f>
        <v xml:space="preserve">
Dévissez la boucle de pliage de la batterie et retirez le câble de connexion de la batterie</v>
      </c>
      <c r="F71" s="11" t="str">
        <f ca="1">IFERROR(__xludf.DUMMYFUNCTION("GOOGLETRANSLATE(B71,(""auto""),(""IT""))"),"
Svitare la fibbia per piegatura della batteria ed estrarre il cavo di collegamento della batteria")</f>
        <v xml:space="preserve">
Svitare la fibbia per piegatura della batteria ed estrarre il cavo di collegamento della batteria</v>
      </c>
    </row>
    <row r="72" spans="1:27">
      <c r="A72" s="68"/>
      <c r="B72" s="68" t="s">
        <v>189</v>
      </c>
      <c r="C72" s="68"/>
      <c r="D72" s="68" t="str">
        <f ca="1">IFERROR(__xludf.DUMMYFUNCTION("GOOGLETRANSLATE(B72,(""auto""),(""es""))"),"A10 - Controlador")</f>
        <v>A10 - Controlador</v>
      </c>
      <c r="E72" s="68" t="str">
        <f ca="1">IFERROR(__xludf.DUMMYFUNCTION("GOOGLETRANSLATE(B72,(""auto""),(""FR""))"),"A10 - Contrôleur")</f>
        <v>A10 - Contrôleur</v>
      </c>
      <c r="F72" s="68" t="str">
        <f ca="1">IFERROR(__xludf.DUMMYFUNCTION("GOOGLETRANSLATE(B72,(""auto""),(""IT""))"),"A10 - Controller")</f>
        <v>A10 - Controller</v>
      </c>
      <c r="G72" s="12"/>
      <c r="H72" s="12"/>
      <c r="I72" s="12"/>
      <c r="J72" s="12"/>
      <c r="K72" s="12"/>
      <c r="L72" s="12"/>
      <c r="M72" s="12"/>
      <c r="N72" s="12"/>
      <c r="O72" s="12"/>
      <c r="P72" s="12"/>
      <c r="Q72" s="12"/>
      <c r="R72" s="12"/>
      <c r="S72" s="12"/>
      <c r="T72" s="12"/>
      <c r="U72" s="12"/>
      <c r="V72" s="12"/>
      <c r="W72" s="12"/>
      <c r="X72" s="12"/>
      <c r="Y72" s="12"/>
      <c r="Z72" s="12"/>
      <c r="AA72" s="12"/>
    </row>
    <row r="73" spans="1:27" ht="15.75" customHeight="1">
      <c r="A73" s="69" t="s">
        <v>145</v>
      </c>
      <c r="B73" s="70" t="s">
        <v>146</v>
      </c>
      <c r="C73" s="70" t="s">
        <v>147</v>
      </c>
      <c r="D73" s="70" t="str">
        <f ca="1">IFERROR(__xludf.DUMMYFUNCTION("GOOGLETRANSLATE(B73,(""auto""),(""es""))"),"Preparación:")</f>
        <v>Preparación:</v>
      </c>
      <c r="E73" s="70" t="str">
        <f ca="1">IFERROR(__xludf.DUMMYFUNCTION("GOOGLETRANSLATE(C73,(""auto""),(""fr""))"),"Remarques")</f>
        <v>Remarques</v>
      </c>
      <c r="F73" s="70" t="str">
        <f ca="1">IFERROR(__xludf.DUMMYFUNCTION("GOOGLETRANSLATE(D73,(""auto""),(""IT""))"),"Preparazione:")</f>
        <v>Preparazione:</v>
      </c>
    </row>
    <row r="74" spans="1:27" ht="15.75" customHeight="1">
      <c r="A74" s="10">
        <v>1</v>
      </c>
      <c r="B74" s="11" t="s">
        <v>190</v>
      </c>
      <c r="C74" s="11"/>
      <c r="D74" s="11" t="str">
        <f ca="1">IFERROR(__xludf.DUMMYFUNCTION("GOOGLETRANSLATE(B74,(""auto""),(""es""))"),"Saque la cubierta del compartimento de la batería - B23")</f>
        <v>Saque la cubierta del compartimento de la batería - B23</v>
      </c>
      <c r="E74" s="11" t="str">
        <f ca="1">IFERROR(__xludf.DUMMYFUNCTION("GOOGLETRANSLATE(B74,(""auto""),(""FR""))"),"Sortez le couvercle du compartiment de la batterie - B23")</f>
        <v>Sortez le couvercle du compartiment de la batterie - B23</v>
      </c>
      <c r="F74" s="11" t="str">
        <f ca="1">IFERROR(__xludf.DUMMYFUNCTION("GOOGLETRANSLATE(B74,(""auto""),(""IT""))"),"Elimina la copertura del vano batteria - B23")</f>
        <v>Elimina la copertura del vano batteria - B23</v>
      </c>
    </row>
    <row r="75" spans="1:27" ht="15.75" customHeight="1">
      <c r="A75" s="10">
        <v>2</v>
      </c>
      <c r="B75" s="11" t="s">
        <v>191</v>
      </c>
      <c r="C75" s="11"/>
      <c r="D75" s="11" t="str">
        <f ca="1">IFERROR(__xludf.DUMMYFUNCTION("GOOGLETRANSLATE(B75,(""auto""),(""es""))"),"Retire la caja de equipaje - B24")</f>
        <v>Retire la caja de equipaje - B24</v>
      </c>
      <c r="E75" s="11" t="str">
        <f ca="1">IFERROR(__xludf.DUMMYFUNCTION("GOOGLETRANSLATE(B75,(""auto""),(""FR""))"),"Retirez la boîte à bagages - B24")</f>
        <v>Retirez la boîte à bagages - B24</v>
      </c>
      <c r="F75" s="11" t="str">
        <f ca="1">IFERROR(__xludf.DUMMYFUNCTION("GOOGLETRANSLATE(B75,(""auto""),(""IT""))"),"Rimuovere la scatola dei bagagli - B24")</f>
        <v>Rimuovere la scatola dei bagagli - B24</v>
      </c>
    </row>
    <row r="76" spans="1:27" ht="15.75" customHeight="1">
      <c r="A76" s="69" t="s">
        <v>150</v>
      </c>
      <c r="B76" s="70" t="s">
        <v>151</v>
      </c>
      <c r="C76" s="70" t="s">
        <v>152</v>
      </c>
      <c r="D76" s="70" t="str">
        <f ca="1">IFERROR(__xludf.DUMMYFUNCTION("GOOGLETRANSLATE(B76,(""auto""),(""es""))"),"Descripción")</f>
        <v>Descripción</v>
      </c>
      <c r="E76" s="70" t="str">
        <f ca="1">IFERROR(__xludf.DUMMYFUNCTION("GOOGLETRANSLATE(B76,(""auto""),(""fr""))"),"Description")</f>
        <v>Description</v>
      </c>
      <c r="F76" s="70" t="str">
        <f ca="1">IFERROR(__xludf.DUMMYFUNCTION("GOOGLETRANSLATE(D76,(""auto""),(""IT""))"),"Descrizione")</f>
        <v>Descrizione</v>
      </c>
      <c r="G76" s="12"/>
      <c r="H76" s="12"/>
      <c r="I76" s="12"/>
      <c r="J76" s="12"/>
      <c r="K76" s="12"/>
      <c r="L76" s="12"/>
      <c r="M76" s="12"/>
      <c r="N76" s="12"/>
      <c r="O76" s="12"/>
      <c r="P76" s="12"/>
      <c r="Q76" s="12"/>
      <c r="R76" s="12"/>
      <c r="S76" s="12"/>
      <c r="T76" s="12"/>
      <c r="U76" s="12"/>
      <c r="V76" s="12"/>
      <c r="W76" s="12"/>
      <c r="X76" s="12"/>
      <c r="Y76" s="12"/>
      <c r="Z76" s="12"/>
      <c r="AA76" s="12"/>
    </row>
    <row r="77" spans="1:27" ht="82.5" customHeight="1">
      <c r="A77" s="10">
        <v>1</v>
      </c>
      <c r="B77" s="11" t="s">
        <v>192</v>
      </c>
      <c r="C77" s="11"/>
      <c r="D77" s="11" t="str">
        <f ca="1">IFERROR(__xludf.DUMMYFUNCTION("GOOGLETRANSLATE(B77,(""auto""),(""es""))"),"
Desenchufar el enchufe del controlador y el enchufe de la sala del motor")</f>
        <v xml:space="preserve">
Desenchufar el enchufe del controlador y el enchufe de la sala del motor</v>
      </c>
      <c r="E77" s="11" t="str">
        <f ca="1">IFERROR(__xludf.DUMMYFUNCTION("GOOGLETRANSLATE(B77,(""auto""),(""FR""))"),"
Débranchez la fiche du contrôleur et la fiche du hall à moteur")</f>
        <v xml:space="preserve">
Débranchez la fiche du contrôleur et la fiche du hall à moteur</v>
      </c>
      <c r="F77" s="11" t="str">
        <f ca="1">IFERROR(__xludf.DUMMYFUNCTION("GOOGLETRANSLATE(B77,(""auto""),(""IT""))"),"
Scollegare la spina del controller e la spina")</f>
        <v xml:space="preserve">
Scollegare la spina del controller e la spina</v>
      </c>
    </row>
    <row r="78" spans="1:27" ht="82.5" customHeight="1">
      <c r="A78" s="10">
        <v>2</v>
      </c>
      <c r="B78" s="11" t="s">
        <v>193</v>
      </c>
      <c r="C78" s="11"/>
      <c r="D78" s="11" t="str">
        <f ca="1">IFERROR(__xludf.DUMMYFUNCTION("GOOGLETRANSLATE(B78,(""auto""),(""es""))"),"Retire los 5 tornillos con un destornillador de Phillips y retire la línea terminal del controlador (línea de fase, positiva y negativa).")</f>
        <v>Retire los 5 tornillos con un destornillador de Phillips y retire la línea terminal del controlador (línea de fase, positiva y negativa).</v>
      </c>
      <c r="E78" s="11" t="str">
        <f ca="1">IFERROR(__xludf.DUMMYFUNCTION("GOOGLETRANSLATE(B78,(""auto""),(""FR""))"),"Retirez 5 vis avec un tournevis Phillips et retirez la ligne de borne du contrôleur (ligne de phase, positive et négative).")</f>
        <v>Retirez 5 vis avec un tournevis Phillips et retirez la ligne de borne du contrôleur (ligne de phase, positive et négative).</v>
      </c>
      <c r="F78" s="11" t="str">
        <f ca="1">IFERROR(__xludf.DUMMYFUNCTION("GOOGLETRANSLATE(B78,(""auto""),(""IT""))"),"Rimuovere 5 viti con un cacciavite Phillips e rimuovere la linea del terminale del controller (linea di fase, positivo e negativo).")</f>
        <v>Rimuovere 5 viti con un cacciavite Phillips e rimuovere la linea del terminale del controller (linea di fase, positivo e negativo).</v>
      </c>
    </row>
    <row r="79" spans="1:27" ht="108.75" customHeight="1">
      <c r="A79" s="10">
        <v>3</v>
      </c>
      <c r="B79" s="11" t="s">
        <v>194</v>
      </c>
      <c r="C79" s="11"/>
      <c r="D79" s="11" t="str">
        <f ca="1">IFERROR(__xludf.DUMMYFUNCTION("GOOGLETRANSLATE(B79,(""auto""),(""es""))"),"
Retire los 3 tornillos con un destornillador de Phillips y retire el soporte de fijación del controlador. Retire el controlador")</f>
        <v xml:space="preserve">
Retire los 3 tornillos con un destornillador de Phillips y retire el soporte de fijación del controlador. Retire el controlador</v>
      </c>
      <c r="E79" s="11" t="str">
        <f ca="1">IFERROR(__xludf.DUMMYFUNCTION("GOOGLETRANSLATE(B79,(""auto""),(""FR""))"),"
Retirez 3 vis avec un tournevis Phillips et retirez le support de fixation du contrôleur. Retirer le contrôleur")</f>
        <v xml:space="preserve">
Retirez 3 vis avec un tournevis Phillips et retirez le support de fixation du contrôleur. Retirer le contrôleur</v>
      </c>
      <c r="F79" s="11" t="str">
        <f ca="1">IFERROR(__xludf.DUMMYFUNCTION("GOOGLETRANSLATE(B79,(""auto""),(""IT""))"),"
Rimuovere 3 viti con un cacciavite Phillips e rimuovere la staffa di fissaggio del controller. Rimuovere il controller")</f>
        <v xml:space="preserve">
Rimuovere 3 viti con un cacciavite Phillips e rimuovere la staffa di fissaggio del controller. Rimuovere il controller</v>
      </c>
    </row>
    <row r="80" spans="1:27">
      <c r="A80" s="68"/>
      <c r="B80" s="68" t="s">
        <v>195</v>
      </c>
      <c r="C80" s="68"/>
      <c r="D80" s="68" t="str">
        <f ca="1">IFERROR(__xludf.DUMMYFUNCTION("GOOGLETRANSLATE(B80,(""auto""),(""es""))"),"A11 - Motor")</f>
        <v>A11 - Motor</v>
      </c>
      <c r="E80" s="68" t="str">
        <f ca="1">IFERROR(__xludf.DUMMYFUNCTION("GOOGLETRANSLATE(B80,(""auto""),(""FR""))"),"A11 - moteur")</f>
        <v>A11 - moteur</v>
      </c>
      <c r="F80" s="68" t="str">
        <f ca="1">IFERROR(__xludf.DUMMYFUNCTION("GOOGLETRANSLATE(B80,(""auto""),(""IT""))"),"A11 - motore")</f>
        <v>A11 - motore</v>
      </c>
      <c r="G80" s="12"/>
      <c r="H80" s="12"/>
      <c r="I80" s="12"/>
      <c r="J80" s="12"/>
      <c r="K80" s="12"/>
      <c r="L80" s="12"/>
      <c r="M80" s="12"/>
      <c r="N80" s="12"/>
      <c r="O80" s="12"/>
      <c r="P80" s="12"/>
      <c r="Q80" s="12"/>
      <c r="R80" s="12"/>
      <c r="S80" s="12"/>
      <c r="T80" s="12"/>
      <c r="U80" s="12"/>
      <c r="V80" s="12"/>
      <c r="W80" s="12"/>
      <c r="X80" s="12"/>
      <c r="Y80" s="12"/>
      <c r="Z80" s="12"/>
      <c r="AA80" s="12"/>
    </row>
    <row r="81" spans="1:27" ht="15.75" customHeight="1">
      <c r="A81" s="69" t="s">
        <v>145</v>
      </c>
      <c r="B81" s="70" t="s">
        <v>146</v>
      </c>
      <c r="C81" s="70" t="s">
        <v>147</v>
      </c>
      <c r="D81" s="70" t="str">
        <f ca="1">IFERROR(__xludf.DUMMYFUNCTION("GOOGLETRANSLATE(B81,(""auto""),(""es""))"),"Preparación:")</f>
        <v>Preparación:</v>
      </c>
      <c r="E81" s="70" t="str">
        <f ca="1">IFERROR(__xludf.DUMMYFUNCTION("GOOGLETRANSLATE(C81,(""auto""),(""fr""))"),"Remarques")</f>
        <v>Remarques</v>
      </c>
      <c r="F81" s="70" t="str">
        <f ca="1">IFERROR(__xludf.DUMMYFUNCTION("GOOGLETRANSLATE(D81,(""auto""),(""IT""))"),"Preparazione:")</f>
        <v>Preparazione:</v>
      </c>
    </row>
    <row r="82" spans="1:27" ht="15.75" customHeight="1">
      <c r="A82" s="10">
        <v>1</v>
      </c>
      <c r="B82" s="11" t="s">
        <v>190</v>
      </c>
      <c r="C82" s="11"/>
      <c r="D82" s="11" t="str">
        <f ca="1">IFERROR(__xludf.DUMMYFUNCTION("GOOGLETRANSLATE(B82,(""auto""),(""es""))"),"Saque la cubierta del compartimento de la batería - B23")</f>
        <v>Saque la cubierta del compartimento de la batería - B23</v>
      </c>
      <c r="E82" s="11" t="str">
        <f ca="1">IFERROR(__xludf.DUMMYFUNCTION("GOOGLETRANSLATE(B82,(""auto""),(""FR""))"),"Sortez le couvercle du compartiment de la batterie - B23")</f>
        <v>Sortez le couvercle du compartiment de la batterie - B23</v>
      </c>
      <c r="F82" s="11" t="str">
        <f ca="1">IFERROR(__xludf.DUMMYFUNCTION("GOOGLETRANSLATE(B82,(""auto""),(""IT""))"),"Elimina la copertura del vano batteria - B23")</f>
        <v>Elimina la copertura del vano batteria - B23</v>
      </c>
    </row>
    <row r="83" spans="1:27" ht="15.75" customHeight="1">
      <c r="A83" s="10">
        <v>2</v>
      </c>
      <c r="B83" s="11" t="s">
        <v>191</v>
      </c>
      <c r="C83" s="11"/>
      <c r="D83" s="11" t="str">
        <f ca="1">IFERROR(__xludf.DUMMYFUNCTION("GOOGLETRANSLATE(B83,(""auto""),(""es""))"),"Retire la caja de equipaje - B24")</f>
        <v>Retire la caja de equipaje - B24</v>
      </c>
      <c r="E83" s="11" t="str">
        <f ca="1">IFERROR(__xludf.DUMMYFUNCTION("GOOGLETRANSLATE(B83,(""auto""),(""FR""))"),"Retirez la boîte à bagages - B24")</f>
        <v>Retirez la boîte à bagages - B24</v>
      </c>
      <c r="F83" s="11" t="str">
        <f ca="1">IFERROR(__xludf.DUMMYFUNCTION("GOOGLETRANSLATE(B83,(""auto""),(""IT""))"),"Rimuovere la scatola dei bagagli - B24")</f>
        <v>Rimuovere la scatola dei bagagli - B24</v>
      </c>
    </row>
    <row r="84" spans="1:27" ht="15.75" customHeight="1">
      <c r="A84" s="69" t="s">
        <v>150</v>
      </c>
      <c r="B84" s="70" t="s">
        <v>151</v>
      </c>
      <c r="C84" s="70" t="s">
        <v>152</v>
      </c>
      <c r="D84" s="70" t="str">
        <f ca="1">IFERROR(__xludf.DUMMYFUNCTION("GOOGLETRANSLATE(B84,(""auto""),(""es""))"),"Descripción")</f>
        <v>Descripción</v>
      </c>
      <c r="E84" s="70" t="str">
        <f ca="1">IFERROR(__xludf.DUMMYFUNCTION("GOOGLETRANSLATE(B84,(""auto""),(""fr""))"),"Description")</f>
        <v>Description</v>
      </c>
      <c r="F84" s="70" t="str">
        <f ca="1">IFERROR(__xludf.DUMMYFUNCTION("GOOGLETRANSLATE(D84,(""auto""),(""IT""))"),"Descrizione")</f>
        <v>Descrizione</v>
      </c>
      <c r="G84" s="12"/>
      <c r="H84" s="12"/>
      <c r="I84" s="12"/>
      <c r="J84" s="12"/>
      <c r="K84" s="12"/>
      <c r="L84" s="12"/>
      <c r="M84" s="12"/>
      <c r="N84" s="12"/>
      <c r="O84" s="12"/>
      <c r="P84" s="12"/>
      <c r="Q84" s="12"/>
      <c r="R84" s="12"/>
      <c r="S84" s="12"/>
      <c r="T84" s="12"/>
      <c r="U84" s="12"/>
      <c r="V84" s="12"/>
      <c r="W84" s="12"/>
      <c r="X84" s="12"/>
      <c r="Y84" s="12"/>
      <c r="Z84" s="12"/>
      <c r="AA84" s="12"/>
    </row>
    <row r="85" spans="1:27" ht="101.25" customHeight="1">
      <c r="A85" s="10">
        <v>1</v>
      </c>
      <c r="B85" s="11" t="s">
        <v>196</v>
      </c>
      <c r="C85" s="11"/>
      <c r="D85" s="11" t="str">
        <f ca="1">IFERROR(__xludf.DUMMYFUNCTION("GOOGLETRANSLATE(B85,(""auto""),(""es""))"),"
Desenchufar la línea principal y el enchufe del motor")</f>
        <v xml:space="preserve">
Desenchufar la línea principal y el enchufe del motor</v>
      </c>
      <c r="E85" s="11" t="str">
        <f ca="1">IFERROR(__xludf.DUMMYFUNCTION("GOOGLETRANSLATE(B85,(""auto""),(""FR""))"),"
Débrancher la ligne principale et le bouchon du hall à moteur")</f>
        <v xml:space="preserve">
Débrancher la ligne principale et le bouchon du hall à moteur</v>
      </c>
      <c r="F85" s="11" t="str">
        <f ca="1">IFERROR(__xludf.DUMMYFUNCTION("GOOGLETRANSLATE(B85,(""auto""),(""IT""))"),"
Scollegare la linea principale e la spina della sala per motori")</f>
        <v xml:space="preserve">
Scollegare la linea principale e la spina della sala per motori</v>
      </c>
    </row>
    <row r="86" spans="1:27" ht="112.5" customHeight="1">
      <c r="A86" s="10">
        <v>2</v>
      </c>
      <c r="B86" s="11" t="s">
        <v>197</v>
      </c>
      <c r="C86" s="11"/>
      <c r="D86" s="11" t="str">
        <f ca="1">IFERROR(__xludf.DUMMYFUNCTION("GOOGLETRANSLATE(B86,(""auto""),(""es""))"),"
Retire los 3 tornillos con un destornillador de Phillips y retire la línea terminal del controlador (línea de fase)")</f>
        <v xml:space="preserve">
Retire los 3 tornillos con un destornillador de Phillips y retire la línea terminal del controlador (línea de fase)</v>
      </c>
      <c r="E86" s="11" t="str">
        <f ca="1">IFERROR(__xludf.DUMMYFUNCTION("GOOGLETRANSLATE(B86,(""auto""),(""FR""))"),"
Retirez 3 vis avec un tournevis Phillips et retirez la ligne de borne du contrôleur (ligne de phase)")</f>
        <v xml:space="preserve">
Retirez 3 vis avec un tournevis Phillips et retirez la ligne de borne du contrôleur (ligne de phase)</v>
      </c>
      <c r="F86" s="11" t="str">
        <f ca="1">IFERROR(__xludf.DUMMYFUNCTION("GOOGLETRANSLATE(B86,(""auto""),(""IT""))"),"
Rimuovere 3 viti con un cacciavite Phillips e rimuovere la linea del terminale del controller (linea di fase)")</f>
        <v xml:space="preserve">
Rimuovere 3 viti con un cacciavite Phillips e rimuovere la linea del terminale del controller (linea di fase)</v>
      </c>
    </row>
    <row r="87" spans="1:27" ht="120" customHeight="1">
      <c r="A87" s="10">
        <v>3</v>
      </c>
      <c r="B87" s="11" t="s">
        <v>194</v>
      </c>
      <c r="C87" s="6"/>
      <c r="D87" s="11" t="str">
        <f ca="1">IFERROR(__xludf.DUMMYFUNCTION("GOOGLETRANSLATE(B87,(""auto""),(""es""))"),"
Retire los 3 tornillos con un destornillador de Phillips y retire el soporte de fijación del controlador. Retire el controlador")</f>
        <v xml:space="preserve">
Retire los 3 tornillos con un destornillador de Phillips y retire el soporte de fijación del controlador. Retire el controlador</v>
      </c>
      <c r="E87" s="11" t="str">
        <f ca="1">IFERROR(__xludf.DUMMYFUNCTION("GOOGLETRANSLATE(B87,(""auto""),(""FR""))"),"
Retirez 3 vis avec un tournevis Phillips et retirez le support de fixation du contrôleur. Retirer le contrôleur")</f>
        <v xml:space="preserve">
Retirez 3 vis avec un tournevis Phillips et retirez le support de fixation du contrôleur. Retirer le contrôleur</v>
      </c>
      <c r="F87" s="11" t="str">
        <f ca="1">IFERROR(__xludf.DUMMYFUNCTION("GOOGLETRANSLATE(B87,(""auto""),(""IT""))"),"
Rimuovere 3 viti con un cacciavite Phillips e rimuovere la staffa di fissaggio del controller. Rimuovere il controller")</f>
        <v xml:space="preserve">
Rimuovere 3 viti con un cacciavite Phillips e rimuovere la staffa di fissaggio del controller. Rimuovere il controller</v>
      </c>
      <c r="G87" s="12"/>
      <c r="H87" s="12"/>
      <c r="I87" s="12"/>
      <c r="J87" s="12"/>
      <c r="K87" s="12"/>
      <c r="L87" s="12"/>
      <c r="M87" s="12"/>
      <c r="N87" s="12"/>
      <c r="O87" s="12"/>
      <c r="P87" s="12"/>
      <c r="Q87" s="12"/>
      <c r="R87" s="12"/>
      <c r="S87" s="12"/>
      <c r="T87" s="12"/>
      <c r="U87" s="12"/>
      <c r="V87" s="12"/>
      <c r="W87" s="12"/>
      <c r="X87" s="12"/>
      <c r="Y87" s="12"/>
      <c r="Z87" s="12"/>
      <c r="AA87" s="12"/>
    </row>
    <row r="88" spans="1:27" ht="103.5" customHeight="1">
      <c r="A88" s="10">
        <v>4</v>
      </c>
      <c r="B88" s="11" t="s">
        <v>198</v>
      </c>
      <c r="C88" s="6"/>
      <c r="D88" s="11" t="str">
        <f ca="1">IFERROR(__xludf.DUMMYFUNCTION("GOOGLETRANSLATE(B88,(""auto""),(""es""))"),"
Retire un tornillo con una manga de 10 mm y retire el soporte de fijación del motor")</f>
        <v xml:space="preserve">
Retire un tornillo con una manga de 10 mm y retire el soporte de fijación del motor</v>
      </c>
      <c r="E88" s="11" t="str">
        <f ca="1">IFERROR(__xludf.DUMMYFUNCTION("GOOGLETRANSLATE(B88,(""auto""),(""FR""))"),"
Retirez une vis avec un manchon de 10 mm et retirez le support de fixation du moteur")</f>
        <v xml:space="preserve">
Retirez une vis avec un manchon de 10 mm et retirez le support de fixation du moteur</v>
      </c>
      <c r="F88" s="11" t="str">
        <f ca="1">IFERROR(__xludf.DUMMYFUNCTION("GOOGLETRANSLATE(B88,(""auto""),(""IT""))"),"
Rimuovere una vite con manica da 10 mm e rimuovere la staffa di fissaggio del motore")</f>
        <v xml:space="preserve">
Rimuovere una vite con manica da 10 mm e rimuovere la staffa di fissaggio del motore</v>
      </c>
      <c r="G88" s="12"/>
      <c r="H88" s="12"/>
      <c r="I88" s="12"/>
      <c r="J88" s="12"/>
      <c r="K88" s="12"/>
      <c r="L88" s="12"/>
      <c r="M88" s="12"/>
      <c r="N88" s="12"/>
      <c r="O88" s="12"/>
      <c r="P88" s="12"/>
      <c r="Q88" s="12"/>
      <c r="R88" s="12"/>
      <c r="S88" s="12"/>
      <c r="T88" s="12"/>
      <c r="U88" s="12"/>
      <c r="V88" s="12"/>
      <c r="W88" s="12"/>
      <c r="X88" s="12"/>
      <c r="Y88" s="12"/>
      <c r="Z88" s="12"/>
      <c r="AA88" s="12"/>
    </row>
    <row r="89" spans="1:27" ht="106.5" customHeight="1">
      <c r="A89" s="10">
        <v>5</v>
      </c>
      <c r="B89" s="11" t="s">
        <v>199</v>
      </c>
      <c r="C89" s="6"/>
      <c r="D89" s="11" t="str">
        <f ca="1">IFERROR(__xludf.DUMMYFUNCTION("GOOGLETRANSLATE(B89,(""auto""),(""es""))"),"
Retire dos pernos y un protector de horquilla plano con hexágono interno de 5 mm")</f>
        <v xml:space="preserve">
Retire dos pernos y un protector de horquilla plano con hexágono interno de 5 mm</v>
      </c>
      <c r="E89" s="11" t="str">
        <f ca="1">IFERROR(__xludf.DUMMYFUNCTION("GOOGLETRANSLATE(B89,(""auto""),(""FR""))"),"
Retirez deux boulons et la fourche plate avec un hexagone intérieur de 5 mm")</f>
        <v xml:space="preserve">
Retirez deux boulons et la fourche plate avec un hexagone intérieur de 5 mm</v>
      </c>
      <c r="F89" s="11" t="str">
        <f ca="1">IFERROR(__xludf.DUMMYFUNCTION("GOOGLETRANSLATE(B89,(""auto""),(""IT""))"),"
Rimuovere due bulloni e protezione a forchetta piatta con esagono interno da 5 mm")</f>
        <v xml:space="preserve">
Rimuovere due bulloni e protezione a forchetta piatta con esagono interno da 5 mm</v>
      </c>
      <c r="G89" s="12"/>
      <c r="H89" s="12"/>
      <c r="I89" s="12"/>
      <c r="J89" s="12"/>
      <c r="K89" s="12"/>
      <c r="L89" s="12"/>
      <c r="M89" s="12"/>
      <c r="N89" s="12"/>
      <c r="O89" s="12"/>
      <c r="P89" s="12"/>
      <c r="Q89" s="12"/>
      <c r="R89" s="12"/>
      <c r="S89" s="12"/>
      <c r="T89" s="12"/>
      <c r="U89" s="12"/>
      <c r="V89" s="12"/>
      <c r="W89" s="12"/>
      <c r="X89" s="12"/>
      <c r="Y89" s="12"/>
      <c r="Z89" s="12"/>
      <c r="AA89" s="12"/>
    </row>
    <row r="90" spans="1:27" ht="99" customHeight="1">
      <c r="A90" s="10">
        <v>6</v>
      </c>
      <c r="B90" s="11" t="s">
        <v>200</v>
      </c>
      <c r="C90" s="6"/>
      <c r="D90" s="11" t="str">
        <f ca="1">IFERROR(__xludf.DUMMYFUNCTION("GOOGLETRANSLATE(B90,(""auto""),(""es""))"),"
Retire los pernos de fijación del conjunto de la pinza del freno trasero con una llave de 12 mm")</f>
        <v xml:space="preserve">
Retire los pernos de fijación del conjunto de la pinza del freno trasero con una llave de 12 mm</v>
      </c>
      <c r="E90" s="11" t="str">
        <f ca="1">IFERROR(__xludf.DUMMYFUNCTION("GOOGLETRANSLATE(B90,(""auto""),(""FR""))"),"
Retirez les boulons de fixation de l'étrier de frein arrière avec une clé de 12 mm")</f>
        <v xml:space="preserve">
Retirez les boulons de fixation de l'étrier de frein arrière avec une clé de 12 mm</v>
      </c>
      <c r="F90" s="11" t="str">
        <f ca="1">IFERROR(__xludf.DUMMYFUNCTION("GOOGLETRANSLATE(B90,(""auto""),(""IT""))"),"
Rimuovere i bulloni di fissaggio del gruppo pinza del freno posteriore con chiave da 12 mm")</f>
        <v xml:space="preserve">
Rimuovere i bulloni di fissaggio del gruppo pinza del freno posteriore con chiave da 12 mm</v>
      </c>
      <c r="G90" s="12"/>
      <c r="H90" s="12"/>
      <c r="I90" s="12"/>
      <c r="J90" s="12"/>
      <c r="K90" s="12"/>
      <c r="L90" s="12"/>
      <c r="M90" s="12"/>
      <c r="N90" s="12"/>
      <c r="O90" s="12"/>
      <c r="P90" s="12"/>
      <c r="Q90" s="12"/>
      <c r="R90" s="12"/>
      <c r="S90" s="12"/>
      <c r="T90" s="12"/>
      <c r="U90" s="12"/>
      <c r="V90" s="12"/>
      <c r="W90" s="12"/>
      <c r="X90" s="12"/>
      <c r="Y90" s="12"/>
      <c r="Z90" s="12"/>
      <c r="AA90" s="12"/>
    </row>
    <row r="91" spans="1:27" ht="99" customHeight="1">
      <c r="A91" s="10">
        <v>7</v>
      </c>
      <c r="B91" s="11" t="s">
        <v>201</v>
      </c>
      <c r="C91" s="6"/>
      <c r="D91" s="11" t="str">
        <f ca="1">IFERROR(__xludf.DUMMYFUNCTION("GOOGLETRANSLATE(B91,(""auto""),(""es""))"),"
Afloje la tuerca con la manga especial de la tuerca del motor y retire el motor")</f>
        <v xml:space="preserve">
Afloje la tuerca con la manga especial de la tuerca del motor y retire el motor</v>
      </c>
      <c r="E91" s="11" t="str">
        <f ca="1">IFERROR(__xludf.DUMMYFUNCTION("GOOGLETRANSLATE(B91,(""auto""),(""FR""))"),"
Desserrer l'écrou avec la manche spéciale de l'écrou du moteur et retirer le moteur")</f>
        <v xml:space="preserve">
Desserrer l'écrou avec la manche spéciale de l'écrou du moteur et retirer le moteur</v>
      </c>
      <c r="F91" s="11" t="str">
        <f ca="1">IFERROR(__xludf.DUMMYFUNCTION("GOOGLETRANSLATE(B91,(""auto""),(""IT""))"),"
Allentare il dado con la manica speciale del dado del motore e rimuovere il motore")</f>
        <v xml:space="preserve">
Allentare il dado con la manica speciale del dado del motore e rimuovere il motore</v>
      </c>
      <c r="G91" s="12"/>
      <c r="H91" s="12"/>
      <c r="I91" s="12"/>
      <c r="J91" s="12"/>
      <c r="K91" s="12"/>
      <c r="L91" s="12"/>
      <c r="M91" s="12"/>
      <c r="N91" s="12"/>
      <c r="O91" s="12"/>
      <c r="P91" s="12"/>
      <c r="Q91" s="12"/>
      <c r="R91" s="12"/>
      <c r="S91" s="12"/>
      <c r="T91" s="12"/>
      <c r="U91" s="12"/>
      <c r="V91" s="12"/>
      <c r="W91" s="12"/>
      <c r="X91" s="12"/>
      <c r="Y91" s="12"/>
      <c r="Z91" s="12"/>
      <c r="AA91" s="12"/>
    </row>
    <row r="92" spans="1:27">
      <c r="A92" s="68"/>
      <c r="B92" s="68" t="s">
        <v>202</v>
      </c>
      <c r="C92" s="68"/>
      <c r="D92" s="68" t="str">
        <f ca="1">IFERROR(__xludf.DUMMYFUNCTION("GOOGLETRANSLATE(B92,(""auto""),(""es""))"),"A12 - Bloqueo electrónico de asiento")</f>
        <v>A12 - Bloqueo electrónico de asiento</v>
      </c>
      <c r="E92" s="68" t="str">
        <f ca="1">IFERROR(__xludf.DUMMYFUNCTION("GOOGLETRANSLATE(B92,(""auto""),(""FR""))"),"A12 - verrouillage électronique des sièges")</f>
        <v>A12 - verrouillage électronique des sièges</v>
      </c>
      <c r="F92" s="68" t="str">
        <f ca="1">IFERROR(__xludf.DUMMYFUNCTION("GOOGLETRANSLATE(B92,(""auto""),(""IT""))"),"A12 - Blocco del sedile elettronico")</f>
        <v>A12 - Blocco del sedile elettronico</v>
      </c>
      <c r="G92" s="12"/>
      <c r="H92" s="12"/>
      <c r="I92" s="12"/>
      <c r="J92" s="12"/>
      <c r="K92" s="12"/>
      <c r="L92" s="12"/>
      <c r="M92" s="12"/>
      <c r="N92" s="12"/>
      <c r="O92" s="12"/>
      <c r="P92" s="12"/>
      <c r="Q92" s="12"/>
      <c r="R92" s="12"/>
      <c r="S92" s="12"/>
      <c r="T92" s="12"/>
      <c r="U92" s="12"/>
      <c r="V92" s="12"/>
      <c r="W92" s="12"/>
      <c r="X92" s="12"/>
      <c r="Y92" s="12"/>
      <c r="Z92" s="12"/>
      <c r="AA92" s="12"/>
    </row>
    <row r="93" spans="1:27" ht="15.75" customHeight="1">
      <c r="A93" s="69" t="s">
        <v>145</v>
      </c>
      <c r="B93" s="70" t="s">
        <v>146</v>
      </c>
      <c r="C93" s="70" t="s">
        <v>147</v>
      </c>
      <c r="D93" s="70" t="str">
        <f ca="1">IFERROR(__xludf.DUMMYFUNCTION("GOOGLETRANSLATE(B93,(""auto""),(""es""))"),"Preparación:")</f>
        <v>Preparación:</v>
      </c>
      <c r="E93" s="70" t="str">
        <f ca="1">IFERROR(__xludf.DUMMYFUNCTION("GOOGLETRANSLATE(C93,(""auto""),(""fr""))"),"Remarques")</f>
        <v>Remarques</v>
      </c>
      <c r="F93" s="70" t="str">
        <f ca="1">IFERROR(__xludf.DUMMYFUNCTION("GOOGLETRANSLATE(D93,(""auto""),(""IT""))"),"Preparazione:")</f>
        <v>Preparazione:</v>
      </c>
    </row>
    <row r="94" spans="1:27" ht="15.75" customHeight="1">
      <c r="A94" s="10">
        <v>1</v>
      </c>
      <c r="B94" s="11" t="s">
        <v>190</v>
      </c>
      <c r="C94" s="6"/>
      <c r="D94" s="11" t="str">
        <f ca="1">IFERROR(__xludf.DUMMYFUNCTION("GOOGLETRANSLATE(B94,(""auto""),(""es""))"),"Saque la cubierta del compartimento de la batería - B23")</f>
        <v>Saque la cubierta del compartimento de la batería - B23</v>
      </c>
      <c r="E94" s="11" t="str">
        <f ca="1">IFERROR(__xludf.DUMMYFUNCTION("GOOGLETRANSLATE(B94,(""auto""),(""FR""))"),"Sortez le couvercle du compartiment de la batterie - B23")</f>
        <v>Sortez le couvercle du compartiment de la batterie - B23</v>
      </c>
      <c r="F94" s="11" t="str">
        <f ca="1">IFERROR(__xludf.DUMMYFUNCTION("GOOGLETRANSLATE(B94,(""auto""),(""IT""))"),"Elimina la copertura del vano batteria - B23")</f>
        <v>Elimina la copertura del vano batteria - B23</v>
      </c>
      <c r="G94" s="12"/>
      <c r="H94" s="12"/>
      <c r="I94" s="12"/>
      <c r="J94" s="12"/>
      <c r="K94" s="12"/>
      <c r="L94" s="12"/>
      <c r="M94" s="12"/>
      <c r="N94" s="12"/>
      <c r="O94" s="12"/>
      <c r="P94" s="12"/>
      <c r="Q94" s="12"/>
      <c r="R94" s="12"/>
      <c r="S94" s="12"/>
      <c r="T94" s="12"/>
      <c r="U94" s="12"/>
      <c r="V94" s="12"/>
      <c r="W94" s="12"/>
      <c r="X94" s="12"/>
      <c r="Y94" s="12"/>
      <c r="Z94" s="12"/>
      <c r="AA94" s="12"/>
    </row>
    <row r="95" spans="1:27" ht="15.75" customHeight="1">
      <c r="A95" s="10">
        <v>2</v>
      </c>
      <c r="B95" s="11" t="s">
        <v>191</v>
      </c>
      <c r="C95" s="6"/>
      <c r="D95" s="11" t="str">
        <f ca="1">IFERROR(__xludf.DUMMYFUNCTION("GOOGLETRANSLATE(B95,(""auto""),(""es""))"),"Retire la caja de equipaje - B24")</f>
        <v>Retire la caja de equipaje - B24</v>
      </c>
      <c r="E95" s="11" t="str">
        <f ca="1">IFERROR(__xludf.DUMMYFUNCTION("GOOGLETRANSLATE(B95,(""auto""),(""FR""))"),"Retirez la boîte à bagages - B24")</f>
        <v>Retirez la boîte à bagages - B24</v>
      </c>
      <c r="F95" s="11" t="str">
        <f ca="1">IFERROR(__xludf.DUMMYFUNCTION("GOOGLETRANSLATE(B95,(""auto""),(""IT""))"),"Rimuovere la scatola dei bagagli - B24")</f>
        <v>Rimuovere la scatola dei bagagli - B24</v>
      </c>
      <c r="G95" s="12"/>
      <c r="H95" s="12"/>
      <c r="I95" s="12"/>
      <c r="J95" s="12"/>
      <c r="K95" s="12"/>
      <c r="L95" s="12"/>
      <c r="M95" s="12"/>
      <c r="N95" s="12"/>
      <c r="O95" s="12"/>
      <c r="P95" s="12"/>
      <c r="Q95" s="12"/>
      <c r="R95" s="12"/>
      <c r="S95" s="12"/>
      <c r="T95" s="12"/>
      <c r="U95" s="12"/>
      <c r="V95" s="12"/>
      <c r="W95" s="12"/>
      <c r="X95" s="12"/>
      <c r="Y95" s="12"/>
      <c r="Z95" s="12"/>
      <c r="AA95" s="12"/>
    </row>
    <row r="96" spans="1:27" ht="15.75" customHeight="1">
      <c r="A96" s="69" t="s">
        <v>150</v>
      </c>
      <c r="B96" s="70" t="s">
        <v>151</v>
      </c>
      <c r="C96" s="70" t="s">
        <v>152</v>
      </c>
      <c r="D96" s="70" t="str">
        <f ca="1">IFERROR(__xludf.DUMMYFUNCTION("GOOGLETRANSLATE(B96,(""auto""),(""es""))"),"Descripción")</f>
        <v>Descripción</v>
      </c>
      <c r="E96" s="70" t="str">
        <f ca="1">IFERROR(__xludf.DUMMYFUNCTION("GOOGLETRANSLATE(B96,(""auto""),(""fr""))"),"Description")</f>
        <v>Description</v>
      </c>
      <c r="F96" s="70" t="str">
        <f ca="1">IFERROR(__xludf.DUMMYFUNCTION("GOOGLETRANSLATE(D96,(""auto""),(""IT""))"),"Descrizione")</f>
        <v>Descrizione</v>
      </c>
      <c r="G96" s="12"/>
      <c r="H96" s="12"/>
      <c r="I96" s="12"/>
      <c r="J96" s="12"/>
      <c r="K96" s="12"/>
      <c r="L96" s="12"/>
      <c r="M96" s="12"/>
      <c r="N96" s="12"/>
      <c r="O96" s="12"/>
      <c r="P96" s="12"/>
      <c r="Q96" s="12"/>
      <c r="R96" s="12"/>
      <c r="S96" s="12"/>
      <c r="T96" s="12"/>
      <c r="U96" s="12"/>
      <c r="V96" s="12"/>
      <c r="W96" s="12"/>
      <c r="X96" s="12"/>
      <c r="Y96" s="12"/>
      <c r="Z96" s="12"/>
      <c r="AA96" s="12"/>
    </row>
    <row r="97" spans="1:27" ht="83.25" customHeight="1">
      <c r="A97" s="10">
        <v>1</v>
      </c>
      <c r="B97" s="11" t="s">
        <v>203</v>
      </c>
      <c r="C97" s="6"/>
      <c r="D97" s="11" t="str">
        <f ca="1">IFERROR(__xludf.DUMMYFUNCTION("GOOGLETRANSLATE(B97,(""auto""),(""es""))"),"
Retire el pestillo del asiento")</f>
        <v xml:space="preserve">
Retire el pestillo del asiento</v>
      </c>
      <c r="E97" s="11" t="str">
        <f ca="1">IFERROR(__xludf.DUMMYFUNCTION("GOOGLETRANSLATE(B97,(""auto""),(""FR""))"),"
Retirez le verrou de siège")</f>
        <v xml:space="preserve">
Retirez le verrou de siège</v>
      </c>
      <c r="F97" s="11" t="str">
        <f ca="1">IFERROR(__xludf.DUMMYFUNCTION("GOOGLETRANSLATE(B97,(""auto""),(""IT""))"),"
Rimuovi il fermo del sedile")</f>
        <v xml:space="preserve">
Rimuovi il fermo del sedile</v>
      </c>
      <c r="G97" s="12"/>
      <c r="H97" s="12"/>
      <c r="I97" s="12"/>
      <c r="J97" s="12"/>
      <c r="K97" s="12"/>
      <c r="L97" s="12"/>
      <c r="M97" s="12"/>
      <c r="N97" s="12"/>
      <c r="O97" s="12"/>
      <c r="P97" s="12"/>
      <c r="Q97" s="12"/>
      <c r="R97" s="12"/>
      <c r="S97" s="12"/>
      <c r="T97" s="12"/>
      <c r="U97" s="12"/>
      <c r="V97" s="12"/>
      <c r="W97" s="12"/>
      <c r="X97" s="12"/>
      <c r="Y97" s="12"/>
      <c r="Z97" s="12"/>
      <c r="AA97" s="12"/>
    </row>
    <row r="98" spans="1:27" ht="84.75" customHeight="1">
      <c r="A98" s="10">
        <v>2</v>
      </c>
      <c r="B98" s="11" t="s">
        <v>204</v>
      </c>
      <c r="C98" s="6"/>
      <c r="D98" s="11" t="str">
        <f ca="1">IFERROR(__xludf.DUMMYFUNCTION("GOOGLETRANSLATE(B98,(""auto""),(""es""))"),"
Desenchufar el pestillo electrónico del asiento")</f>
        <v xml:space="preserve">
Desenchufar el pestillo electrónico del asiento</v>
      </c>
      <c r="E98" s="11" t="str">
        <f ca="1">IFERROR(__xludf.DUMMYFUNCTION("GOOGLETRANSLATE(B98,(""auto""),(""FR""))"),"
Débrancher le verrou de siège électronique")</f>
        <v xml:space="preserve">
Débrancher le verrou de siège électronique</v>
      </c>
      <c r="F98" s="11" t="str">
        <f ca="1">IFERROR(__xludf.DUMMYFUNCTION("GOOGLETRANSLATE(B98,(""auto""),(""IT""))"),"
Scollegare il fermo elettronico del sedile")</f>
        <v xml:space="preserve">
Scollegare il fermo elettronico del sedile</v>
      </c>
      <c r="G98" s="12"/>
      <c r="H98" s="12"/>
      <c r="I98" s="12"/>
      <c r="J98" s="12"/>
      <c r="K98" s="12"/>
      <c r="L98" s="12"/>
      <c r="M98" s="12"/>
      <c r="N98" s="12"/>
      <c r="O98" s="12"/>
      <c r="P98" s="12"/>
      <c r="Q98" s="12"/>
      <c r="R98" s="12"/>
      <c r="S98" s="12"/>
      <c r="T98" s="12"/>
      <c r="U98" s="12"/>
      <c r="V98" s="12"/>
      <c r="W98" s="12"/>
      <c r="X98" s="12"/>
      <c r="Y98" s="12"/>
      <c r="Z98" s="12"/>
      <c r="AA98" s="12"/>
    </row>
    <row r="99" spans="1:27" ht="135.75" customHeight="1">
      <c r="A99" s="10">
        <v>2</v>
      </c>
      <c r="B99" s="11" t="s">
        <v>205</v>
      </c>
      <c r="C99" s="6"/>
      <c r="D99" s="11" t="str">
        <f ca="1">IFERROR(__xludf.DUMMYFUNCTION("GOOGLETRANSLATE(B99,(""auto""),(""es""))"),"Retire 2 tornillos con un destornillador de Phillips y retire el conjunto del bloqueo del asiento")</f>
        <v>Retire 2 tornillos con un destornillador de Phillips y retire el conjunto del bloqueo del asiento</v>
      </c>
      <c r="E99" s="11" t="str">
        <f ca="1">IFERROR(__xludf.DUMMYFUNCTION("GOOGLETRANSLATE(B99,(""auto""),(""FR""))"),"Retirer 2 vis avec un tournevis Phillips et retirer l'ensemble de verrouillage du siège")</f>
        <v>Retirer 2 vis avec un tournevis Phillips et retirer l'ensemble de verrouillage du siège</v>
      </c>
      <c r="F99" s="11" t="str">
        <f ca="1">IFERROR(__xludf.DUMMYFUNCTION("GOOGLETRANSLATE(B99,(""auto""),(""IT""))"),"Rimuovere 2 viti con un cacciavite Phillips e rimuovere il gruppo berlina del sedile")</f>
        <v>Rimuovere 2 viti con un cacciavite Phillips e rimuovere il gruppo berlina del sedile</v>
      </c>
      <c r="G99" s="12"/>
      <c r="H99" s="12"/>
      <c r="I99" s="12"/>
      <c r="J99" s="12"/>
      <c r="K99" s="12"/>
      <c r="L99" s="12"/>
      <c r="M99" s="12"/>
      <c r="N99" s="12"/>
      <c r="O99" s="12"/>
      <c r="P99" s="12"/>
      <c r="Q99" s="12"/>
      <c r="R99" s="12"/>
      <c r="S99" s="12"/>
      <c r="T99" s="12"/>
      <c r="U99" s="12"/>
      <c r="V99" s="12"/>
      <c r="W99" s="12"/>
      <c r="X99" s="12"/>
      <c r="Y99" s="12"/>
      <c r="Z99" s="12"/>
      <c r="AA99" s="12"/>
    </row>
    <row r="100" spans="1:27">
      <c r="A100" s="68"/>
      <c r="B100" s="68" t="s">
        <v>206</v>
      </c>
      <c r="C100" s="68"/>
      <c r="D100" s="68" t="str">
        <f ca="1">IFERROR(__xludf.DUMMYFUNCTION("GOOGLETRANSLATE(B100,(""auto""),(""es""))"),"A13 - Protector de circuito")</f>
        <v>A13 - Protector de circuito</v>
      </c>
      <c r="E100" s="68" t="str">
        <f ca="1">IFERROR(__xludf.DUMMYFUNCTION("GOOGLETRANSLATE(B100,(""auto""),(""FR""))"),"A13 - Protecteur de circuit")</f>
        <v>A13 - Protecteur de circuit</v>
      </c>
      <c r="F100" s="68" t="str">
        <f ca="1">IFERROR(__xludf.DUMMYFUNCTION("GOOGLETRANSLATE(B100,(""auto""),(""IT""))"),"A13 - Protettore circuito")</f>
        <v>A13 - Protettore circuito</v>
      </c>
      <c r="G100" s="12"/>
      <c r="H100" s="12"/>
      <c r="I100" s="12"/>
      <c r="J100" s="12"/>
      <c r="K100" s="12"/>
      <c r="L100" s="12"/>
      <c r="M100" s="12"/>
      <c r="N100" s="12"/>
      <c r="O100" s="12"/>
      <c r="P100" s="12"/>
      <c r="Q100" s="12"/>
      <c r="R100" s="12"/>
      <c r="S100" s="12"/>
      <c r="T100" s="12"/>
      <c r="U100" s="12"/>
      <c r="V100" s="12"/>
      <c r="W100" s="12"/>
      <c r="X100" s="12"/>
      <c r="Y100" s="12"/>
      <c r="Z100" s="12"/>
      <c r="AA100" s="12"/>
    </row>
    <row r="101" spans="1:27" ht="15.75" customHeight="1">
      <c r="A101" s="69" t="s">
        <v>145</v>
      </c>
      <c r="B101" s="70" t="s">
        <v>146</v>
      </c>
      <c r="C101" s="70" t="s">
        <v>147</v>
      </c>
      <c r="D101" s="70" t="str">
        <f ca="1">IFERROR(__xludf.DUMMYFUNCTION("GOOGLETRANSLATE(B101,(""auto""),(""es""))"),"Preparación:")</f>
        <v>Preparación:</v>
      </c>
      <c r="E101" s="70" t="str">
        <f ca="1">IFERROR(__xludf.DUMMYFUNCTION("GOOGLETRANSLATE(C101,(""auto""),(""fr""))"),"Remarques")</f>
        <v>Remarques</v>
      </c>
      <c r="F101" s="70" t="str">
        <f ca="1">IFERROR(__xludf.DUMMYFUNCTION("GOOGLETRANSLATE(D101,(""auto""),(""IT""))"),"Preparazione:")</f>
        <v>Preparazione:</v>
      </c>
    </row>
    <row r="102" spans="1:27" ht="15.75" customHeight="1">
      <c r="A102" s="10">
        <v>1</v>
      </c>
      <c r="B102" s="11" t="s">
        <v>207</v>
      </c>
      <c r="C102" s="6"/>
      <c r="D102" s="11" t="str">
        <f ca="1">IFERROR(__xludf.DUMMYFUNCTION("GOOGLETRANSLATE(B102,(""auto""),(""es""))"),"Saque la cubierta del compartimento de la batería - B23")</f>
        <v>Saque la cubierta del compartimento de la batería - B23</v>
      </c>
      <c r="E102" s="11" t="str">
        <f ca="1">IFERROR(__xludf.DUMMYFUNCTION("GOOGLETRANSLATE(B102,(""auto""),(""FR""))"),"Sortez le couvercle du compartiment de la batterie - B23")</f>
        <v>Sortez le couvercle du compartiment de la batterie - B23</v>
      </c>
      <c r="F102" s="11" t="str">
        <f ca="1">IFERROR(__xludf.DUMMYFUNCTION("GOOGLETRANSLATE(B102,(""auto""),(""IT""))"),"Elimina la copertura del vano batteria - B23")</f>
        <v>Elimina la copertura del vano batteria - B23</v>
      </c>
      <c r="G102" s="12"/>
      <c r="H102" s="12"/>
      <c r="I102" s="12"/>
      <c r="J102" s="12"/>
      <c r="K102" s="12"/>
      <c r="L102" s="12"/>
      <c r="M102" s="12"/>
      <c r="N102" s="12"/>
      <c r="O102" s="12"/>
      <c r="P102" s="12"/>
      <c r="Q102" s="12"/>
      <c r="R102" s="12"/>
      <c r="S102" s="12"/>
      <c r="T102" s="12"/>
      <c r="U102" s="12"/>
      <c r="V102" s="12"/>
      <c r="W102" s="12"/>
      <c r="X102" s="12"/>
      <c r="Y102" s="12"/>
      <c r="Z102" s="12"/>
      <c r="AA102" s="12"/>
    </row>
    <row r="103" spans="1:27" ht="15.75" customHeight="1">
      <c r="A103" s="10">
        <v>2</v>
      </c>
      <c r="B103" s="11" t="s">
        <v>191</v>
      </c>
      <c r="C103" s="6"/>
      <c r="D103" s="11" t="str">
        <f ca="1">IFERROR(__xludf.DUMMYFUNCTION("GOOGLETRANSLATE(B103,(""auto""),(""es""))"),"Retire la caja de equipaje - B24")</f>
        <v>Retire la caja de equipaje - B24</v>
      </c>
      <c r="E103" s="11" t="str">
        <f ca="1">IFERROR(__xludf.DUMMYFUNCTION("GOOGLETRANSLATE(B103,(""auto""),(""FR""))"),"Retirez la boîte à bagages - B24")</f>
        <v>Retirez la boîte à bagages - B24</v>
      </c>
      <c r="F103" s="11" t="str">
        <f ca="1">IFERROR(__xludf.DUMMYFUNCTION("GOOGLETRANSLATE(B103,(""auto""),(""IT""))"),"Rimuovere la scatola dei bagagli - B24")</f>
        <v>Rimuovere la scatola dei bagagli - B24</v>
      </c>
      <c r="G103" s="12"/>
      <c r="H103" s="12"/>
      <c r="I103" s="12"/>
      <c r="J103" s="12"/>
      <c r="K103" s="12"/>
      <c r="L103" s="12"/>
      <c r="M103" s="12"/>
      <c r="N103" s="12"/>
      <c r="O103" s="12"/>
      <c r="P103" s="12"/>
      <c r="Q103" s="12"/>
      <c r="R103" s="12"/>
      <c r="S103" s="12"/>
      <c r="T103" s="12"/>
      <c r="U103" s="12"/>
      <c r="V103" s="12"/>
      <c r="W103" s="12"/>
      <c r="X103" s="12"/>
      <c r="Y103" s="12"/>
      <c r="Z103" s="12"/>
      <c r="AA103" s="12"/>
    </row>
    <row r="104" spans="1:27" ht="15.75" customHeight="1">
      <c r="A104" s="69" t="s">
        <v>150</v>
      </c>
      <c r="B104" s="70" t="s">
        <v>151</v>
      </c>
      <c r="C104" s="70" t="s">
        <v>152</v>
      </c>
      <c r="D104" s="70" t="str">
        <f ca="1">IFERROR(__xludf.DUMMYFUNCTION("GOOGLETRANSLATE(B104,(""auto""),(""es""))"),"Descripción")</f>
        <v>Descripción</v>
      </c>
      <c r="E104" s="70" t="str">
        <f ca="1">IFERROR(__xludf.DUMMYFUNCTION("GOOGLETRANSLATE(B104,(""auto""),(""fr""))"),"Description")</f>
        <v>Description</v>
      </c>
      <c r="F104" s="70" t="str">
        <f ca="1">IFERROR(__xludf.DUMMYFUNCTION("GOOGLETRANSLATE(D104,(""auto""),(""IT""))"),"Descrizione")</f>
        <v>Descrizione</v>
      </c>
      <c r="G104" s="12"/>
      <c r="H104" s="12"/>
      <c r="I104" s="12"/>
      <c r="J104" s="12"/>
      <c r="K104" s="12"/>
      <c r="L104" s="12"/>
      <c r="M104" s="12"/>
      <c r="N104" s="12"/>
      <c r="O104" s="12"/>
      <c r="P104" s="12"/>
      <c r="Q104" s="12"/>
      <c r="R104" s="12"/>
      <c r="S104" s="12"/>
      <c r="T104" s="12"/>
      <c r="U104" s="12"/>
      <c r="V104" s="12"/>
      <c r="W104" s="12"/>
      <c r="X104" s="12"/>
      <c r="Y104" s="12"/>
      <c r="Z104" s="12"/>
      <c r="AA104" s="12"/>
    </row>
    <row r="105" spans="1:27" ht="138" customHeight="1">
      <c r="A105" s="10">
        <v>1</v>
      </c>
      <c r="B105" s="11" t="s">
        <v>208</v>
      </c>
      <c r="C105" s="6"/>
      <c r="D105" s="11" t="str">
        <f ca="1">IFERROR(__xludf.DUMMYFUNCTION("GOOGLETRANSLATE(B105,(""auto""),(""es""))"),"
Apague el protector del circuito, afloje las dos conexiones de alimentación con un destornillador de Phillips,
Desenchufar el cable de alimentación")</f>
        <v xml:space="preserve">
Apague el protector del circuito, afloje las dos conexiones de alimentación con un destornillador de Phillips,
Desenchufar el cable de alimentación</v>
      </c>
      <c r="E105" s="11" t="str">
        <f ca="1">IFERROR(__xludf.DUMMYFUNCTION("GOOGLETRANSLATE(B105,(""auto""),(""FR""))"),"
Éteignez le protecteur de circuit, desserrez les deux connexions d'alimentation avec un tournevis Phillips,
Débranchez le câble d'alimentation")</f>
        <v xml:space="preserve">
Éteignez le protecteur de circuit, desserrez les deux connexions d'alimentation avec un tournevis Phillips,
Débranchez le câble d'alimentation</v>
      </c>
      <c r="F105" s="11" t="str">
        <f ca="1">IFERROR(__xludf.DUMMYFUNCTION("GOOGLETRANSLATE(B105,(""auto""),(""IT""))"),"
Spegnere la protezione del circuito, allentare i due collegamenti di alimentazione con un cacciavite Phillips,
Scollegare il cavo di alimentazione")</f>
        <v xml:space="preserve">
Spegnere la protezione del circuito, allentare i due collegamenti di alimentazione con un cacciavite Phillips,
Scollegare il cavo di alimentazione</v>
      </c>
      <c r="G105" s="12"/>
      <c r="H105" s="12"/>
      <c r="I105" s="12"/>
      <c r="J105" s="12"/>
      <c r="K105" s="12"/>
      <c r="L105" s="12"/>
      <c r="M105" s="12"/>
      <c r="N105" s="12"/>
      <c r="O105" s="12"/>
      <c r="P105" s="12"/>
      <c r="Q105" s="12"/>
      <c r="R105" s="12"/>
      <c r="S105" s="12"/>
      <c r="T105" s="12"/>
      <c r="U105" s="12"/>
      <c r="V105" s="12"/>
      <c r="W105" s="12"/>
      <c r="X105" s="12"/>
      <c r="Y105" s="12"/>
      <c r="Z105" s="12"/>
      <c r="AA105" s="12"/>
    </row>
    <row r="106" spans="1:27" ht="158.25" customHeight="1">
      <c r="A106" s="10">
        <v>2</v>
      </c>
      <c r="B106" s="11" t="s">
        <v>209</v>
      </c>
      <c r="C106" s="6"/>
      <c r="D106" s="11" t="str">
        <f ca="1">IFERROR(__xludf.DUMMYFUNCTION("GOOGLETRANSLATE(B106,(""auto""),(""es""))"),"
Abra el botón inferior y tírelo. Saque el protector del circuito")</f>
        <v xml:space="preserve">
Abra el botón inferior y tírelo. Saque el protector del circuito</v>
      </c>
      <c r="E106" s="11" t="str">
        <f ca="1">IFERROR(__xludf.DUMMYFUNCTION("GOOGLETRANSLATE(B106,(""auto""),(""FR""))"),"
Ouvrez le bouton inférieur et retirez-le. Sortez le protecteur de circuit")</f>
        <v xml:space="preserve">
Ouvrez le bouton inférieur et retirez-le. Sortez le protecteur de circuit</v>
      </c>
      <c r="F106" s="11" t="str">
        <f ca="1">IFERROR(__xludf.DUMMYFUNCTION("GOOGLETRANSLATE(B106,(""auto""),(""IT""))"),"
Apri il pulsante inferiore e tiralo fuori. Elimina la protezione del circuito")</f>
        <v xml:space="preserve">
Apri il pulsante inferiore e tiralo fuori. Elimina la protezione del circuito</v>
      </c>
      <c r="G106" s="12"/>
      <c r="H106" s="12"/>
      <c r="I106" s="12"/>
      <c r="J106" s="12"/>
      <c r="K106" s="12"/>
      <c r="L106" s="12"/>
      <c r="M106" s="12"/>
      <c r="N106" s="12"/>
      <c r="O106" s="12"/>
      <c r="P106" s="12"/>
      <c r="Q106" s="12"/>
      <c r="R106" s="12"/>
      <c r="S106" s="12"/>
      <c r="T106" s="12"/>
      <c r="U106" s="12"/>
      <c r="V106" s="12"/>
      <c r="W106" s="12"/>
      <c r="X106" s="12"/>
      <c r="Y106" s="12"/>
      <c r="Z106" s="12"/>
      <c r="AA106" s="12"/>
    </row>
    <row r="107" spans="1:27">
      <c r="A107" s="68"/>
      <c r="B107" s="68" t="s">
        <v>210</v>
      </c>
      <c r="C107" s="68"/>
      <c r="D107" s="68" t="s">
        <v>211</v>
      </c>
      <c r="E107" s="68" t="str">
        <f ca="1">IFERROR(__xludf.DUMMYFUNCTION("GOOGLETRANSLATE(D107,(""auto""),(""FR""))"),"14 indicateurs avant")</f>
        <v>14 indicateurs avant</v>
      </c>
      <c r="F107" s="68" t="str">
        <f ca="1">IFERROR(__xludf.DUMMYFUNCTION("GOOGLETRANSLATE(E107,(""auto""),(""IT""))"),"14 indicatori frontali")</f>
        <v>14 indicatori frontali</v>
      </c>
      <c r="G107" s="12"/>
      <c r="H107" s="12"/>
      <c r="I107" s="12"/>
      <c r="J107" s="12"/>
      <c r="K107" s="12"/>
      <c r="L107" s="12"/>
      <c r="M107" s="12"/>
      <c r="N107" s="12"/>
      <c r="O107" s="12"/>
      <c r="P107" s="12"/>
      <c r="Q107" s="12"/>
      <c r="R107" s="12"/>
      <c r="S107" s="12"/>
      <c r="T107" s="12"/>
      <c r="U107" s="12"/>
      <c r="V107" s="12"/>
      <c r="W107" s="12"/>
      <c r="X107" s="12"/>
      <c r="Y107" s="12"/>
      <c r="Z107" s="12"/>
      <c r="AA107" s="12"/>
    </row>
    <row r="108" spans="1:27" ht="15.75" customHeight="1">
      <c r="A108" s="69" t="s">
        <v>145</v>
      </c>
      <c r="B108" s="70" t="s">
        <v>146</v>
      </c>
      <c r="C108" s="70" t="s">
        <v>147</v>
      </c>
      <c r="D108" s="70" t="str">
        <f ca="1">IFERROR(__xludf.DUMMYFUNCTION("GOOGLETRANSLATE(B108,(""auto""),(""es""))"),"Preparación:")</f>
        <v>Preparación:</v>
      </c>
      <c r="E108" s="70" t="str">
        <f ca="1">IFERROR(__xludf.DUMMYFUNCTION("GOOGLETRANSLATE(C108,(""auto""),(""fr""))"),"Remarques")</f>
        <v>Remarques</v>
      </c>
      <c r="F108" s="70" t="str">
        <f ca="1">IFERROR(__xludf.DUMMYFUNCTION("GOOGLETRANSLATE(D108,(""auto""),(""IT""))"),"Preparazione:")</f>
        <v>Preparazione:</v>
      </c>
    </row>
    <row r="109" spans="1:27" ht="15.75" customHeight="1">
      <c r="A109" s="10">
        <v>1</v>
      </c>
      <c r="B109" s="11" t="s">
        <v>156</v>
      </c>
      <c r="C109" s="6"/>
      <c r="D109" s="11" t="str">
        <f ca="1">IFERROR(__xludf.DUMMYFUNCTION("GOOGLETRANSLATE(B109,(""auto""),(""es""))"),"Retire la canasta delantera - B0")</f>
        <v>Retire la canasta delantera - B0</v>
      </c>
      <c r="E109" s="11" t="str">
        <f ca="1">IFERROR(__xludf.DUMMYFUNCTION("GOOGLETRANSLATE(B109,(""auto""),(""FR""))"),"Retirez le panier avant - B0")</f>
        <v>Retirez le panier avant - B0</v>
      </c>
      <c r="F109" s="11" t="str">
        <f ca="1">IFERROR(__xludf.DUMMYFUNCTION("GOOGLETRANSLATE(B109,(""auto""),(""IT""))"),"Rimuovere il cestino anteriore - B0")</f>
        <v>Rimuovere il cestino anteriore - B0</v>
      </c>
      <c r="G109" s="12"/>
      <c r="H109" s="12"/>
      <c r="I109" s="12"/>
      <c r="J109" s="12"/>
      <c r="K109" s="12"/>
      <c r="L109" s="12"/>
      <c r="M109" s="12"/>
      <c r="N109" s="12"/>
      <c r="O109" s="12"/>
      <c r="P109" s="12"/>
      <c r="Q109" s="12"/>
      <c r="R109" s="12"/>
      <c r="S109" s="12"/>
      <c r="T109" s="12"/>
      <c r="U109" s="12"/>
      <c r="V109" s="12"/>
      <c r="W109" s="12"/>
      <c r="X109" s="12"/>
      <c r="Y109" s="12"/>
      <c r="Z109" s="12"/>
      <c r="AA109" s="12"/>
    </row>
    <row r="110" spans="1:27" ht="15.75" customHeight="1">
      <c r="A110" s="10">
        <v>2</v>
      </c>
      <c r="B110" s="11" t="s">
        <v>149</v>
      </c>
      <c r="C110" s="6"/>
      <c r="D110" s="11" t="str">
        <f ca="1">IFERROR(__xludf.DUMMYFUNCTION("GOOGLETRANSLATE(B110,(""auto""),(""es""))"),"Retire la cubierta frontal - B1")</f>
        <v>Retire la cubierta frontal - B1</v>
      </c>
      <c r="E110" s="11" t="str">
        <f ca="1">IFERROR(__xludf.DUMMYFUNCTION("GOOGLETRANSLATE(B110,(""auto""),(""FR""))"),"Retirez le couvercle avant - B1")</f>
        <v>Retirez le couvercle avant - B1</v>
      </c>
      <c r="F110" s="11" t="str">
        <f ca="1">IFERROR(__xludf.DUMMYFUNCTION("GOOGLETRANSLATE(B110,(""auto""),(""IT""))"),"Rimuovere il coperchio anteriore - B1")</f>
        <v>Rimuovere il coperchio anteriore - B1</v>
      </c>
      <c r="G110" s="12"/>
      <c r="H110" s="12"/>
      <c r="I110" s="12"/>
      <c r="J110" s="12"/>
      <c r="K110" s="12"/>
      <c r="L110" s="12"/>
      <c r="M110" s="12"/>
      <c r="N110" s="12"/>
      <c r="O110" s="12"/>
      <c r="P110" s="12"/>
      <c r="Q110" s="12"/>
      <c r="R110" s="12"/>
      <c r="S110" s="12"/>
      <c r="T110" s="12"/>
      <c r="U110" s="12"/>
      <c r="V110" s="12"/>
      <c r="W110" s="12"/>
      <c r="X110" s="12"/>
      <c r="Y110" s="12"/>
      <c r="Z110" s="12"/>
      <c r="AA110" s="12"/>
    </row>
    <row r="111" spans="1:27" ht="15.75" customHeight="1">
      <c r="A111" s="69" t="s">
        <v>150</v>
      </c>
      <c r="B111" s="70" t="s">
        <v>151</v>
      </c>
      <c r="C111" s="70" t="s">
        <v>152</v>
      </c>
      <c r="D111" s="70" t="str">
        <f ca="1">IFERROR(__xludf.DUMMYFUNCTION("GOOGLETRANSLATE(B111,(""auto""),(""es""))"),"Descripción")</f>
        <v>Descripción</v>
      </c>
      <c r="E111" s="70" t="str">
        <f ca="1">IFERROR(__xludf.DUMMYFUNCTION("GOOGLETRANSLATE(B111,(""auto""),(""fr""))"),"Description")</f>
        <v>Description</v>
      </c>
      <c r="F111" s="70" t="str">
        <f ca="1">IFERROR(__xludf.DUMMYFUNCTION("GOOGLETRANSLATE(D111,(""auto""),(""IT""))"),"Descrizione")</f>
        <v>Descrizione</v>
      </c>
      <c r="G111" s="12"/>
      <c r="H111" s="12"/>
      <c r="I111" s="12"/>
      <c r="J111" s="12"/>
      <c r="K111" s="12"/>
      <c r="L111" s="12"/>
      <c r="M111" s="12"/>
      <c r="N111" s="12"/>
      <c r="O111" s="12"/>
      <c r="P111" s="12"/>
      <c r="Q111" s="12"/>
      <c r="R111" s="12"/>
      <c r="S111" s="12"/>
      <c r="T111" s="12"/>
      <c r="U111" s="12"/>
      <c r="V111" s="12"/>
      <c r="W111" s="12"/>
      <c r="X111" s="12"/>
      <c r="Y111" s="12"/>
      <c r="Z111" s="12"/>
      <c r="AA111" s="12"/>
    </row>
    <row r="112" spans="1:27" ht="102.75" customHeight="1">
      <c r="A112" s="10">
        <v>1</v>
      </c>
      <c r="B112" s="11" t="s">
        <v>212</v>
      </c>
      <c r="C112" s="6"/>
      <c r="D112" s="11" t="str">
        <f ca="1">IFERROR(__xludf.DUMMYFUNCTION("GOOGLETRANSLATE(B112,(""auto""),(""es""))"),"
Desenchufar conectores de espeluznante delantero izquierdo y derecho")</f>
        <v xml:space="preserve">
Desenchufar conectores de espeluznante delantero izquierdo y derecho</v>
      </c>
      <c r="E112" s="11" t="str">
        <f ca="1">IFERROR(__xludf.DUMMYFUNCTION("GOOGLETRANSLATE(B112,(""auto""),(""FR""))"),"
Débranchez les connecteurs de clignoteur avant et droit")</f>
        <v xml:space="preserve">
Débranchez les connecteurs de clignoteur avant et droit</v>
      </c>
      <c r="F112" s="11" t="str">
        <f ca="1">IFERROR(__xludf.DUMMYFUNCTION("GOOGLETRANSLATE(B112,(""auto""),(""IT""))"),"
Scollegare i connettori anteriori sinistra e destra")</f>
        <v xml:space="preserve">
Scollegare i connettori anteriori sinistra e destra</v>
      </c>
      <c r="G112" s="12"/>
      <c r="H112" s="12"/>
      <c r="I112" s="12"/>
      <c r="J112" s="12"/>
      <c r="K112" s="12"/>
      <c r="L112" s="12"/>
      <c r="M112" s="12"/>
      <c r="N112" s="12"/>
      <c r="O112" s="12"/>
      <c r="P112" s="12"/>
      <c r="Q112" s="12"/>
      <c r="R112" s="12"/>
      <c r="S112" s="12"/>
      <c r="T112" s="12"/>
      <c r="U112" s="12"/>
      <c r="V112" s="12"/>
      <c r="W112" s="12"/>
      <c r="X112" s="12"/>
      <c r="Y112" s="12"/>
      <c r="Z112" s="12"/>
      <c r="AA112" s="12"/>
    </row>
    <row r="113" spans="1:27" ht="105" customHeight="1">
      <c r="A113" s="10">
        <v>2</v>
      </c>
      <c r="B113" s="11" t="s">
        <v>213</v>
      </c>
      <c r="C113" s="6"/>
      <c r="D113" s="11" t="str">
        <f ca="1">IFERROR(__xludf.DUMMYFUNCTION("GOOGLETRANSLATE(B113,(""auto""),(""es""))"),"
Retire la tuerca de retención con una llave abierta de 14 mm y retire las porjeturas delanteras")</f>
        <v xml:space="preserve">
Retire la tuerca de retención con una llave abierta de 14 mm y retire las porjeturas delanteras</v>
      </c>
      <c r="E113" s="11" t="str">
        <f ca="1">IFERROR(__xludf.DUMMYFUNCTION("GOOGLETRANSLATE(B113,(""auto""),(""FR""))"),"
Retirez l'écrou de retenue avec une clé ouverte de 14 mm et retirez les clignotements avant")</f>
        <v xml:space="preserve">
Retirez l'écrou de retenue avec une clé ouverte de 14 mm et retirez les clignotements avant</v>
      </c>
      <c r="F113" s="11" t="str">
        <f ca="1">IFERROR(__xludf.DUMMYFUNCTION("GOOGLETRANSLATE(B113,(""auto""),(""IT""))"),"
Rimuovere il dado di fissaggio con una chiave aperta da 14 mm e rimuovere gli occhiali anteriori")</f>
        <v xml:space="preserve">
Rimuovere il dado di fissaggio con una chiave aperta da 14 mm e rimuovere gli occhiali anteriori</v>
      </c>
      <c r="G113" s="12"/>
      <c r="H113" s="12"/>
      <c r="I113" s="12"/>
      <c r="J113" s="12"/>
      <c r="K113" s="12"/>
      <c r="L113" s="12"/>
      <c r="M113" s="12"/>
      <c r="N113" s="12"/>
      <c r="O113" s="12"/>
      <c r="P113" s="12"/>
      <c r="Q113" s="12"/>
      <c r="R113" s="12"/>
      <c r="S113" s="12"/>
      <c r="T113" s="12"/>
      <c r="U113" s="12"/>
      <c r="V113" s="12"/>
      <c r="W113" s="12"/>
      <c r="X113" s="12"/>
      <c r="Y113" s="12"/>
      <c r="Z113" s="12"/>
      <c r="AA113" s="12"/>
    </row>
    <row r="114" spans="1:27">
      <c r="A114" s="68"/>
      <c r="B114" s="68" t="s">
        <v>214</v>
      </c>
      <c r="C114" s="68"/>
      <c r="D114" s="68" t="str">
        <f ca="1">IFERROR(__xludf.DUMMYFUNCTION("GOOGLETRANSLATE(B114,(""auto""),(""es""))"),"A15 - Interfaz USB")</f>
        <v>A15 - Interfaz USB</v>
      </c>
      <c r="E114" s="68" t="str">
        <f ca="1">IFERROR(__xludf.DUMMYFUNCTION("GOOGLETRANSLATE(B114,(""auto""),(""FR""))"),"A15 - Interface USB")</f>
        <v>A15 - Interface USB</v>
      </c>
      <c r="F114" s="68" t="str">
        <f ca="1">IFERROR(__xludf.DUMMYFUNCTION("GOOGLETRANSLATE(B114,(""auto""),(""IT""))"),"A15 - Interfaccia USB")</f>
        <v>A15 - Interfaccia USB</v>
      </c>
      <c r="G114" s="12"/>
      <c r="H114" s="12"/>
      <c r="I114" s="12"/>
      <c r="J114" s="12"/>
      <c r="K114" s="12"/>
      <c r="L114" s="12"/>
      <c r="M114" s="12"/>
      <c r="N114" s="12"/>
      <c r="O114" s="12"/>
      <c r="P114" s="12"/>
      <c r="Q114" s="12"/>
      <c r="R114" s="12"/>
      <c r="S114" s="12"/>
      <c r="T114" s="12"/>
      <c r="U114" s="12"/>
      <c r="V114" s="12"/>
      <c r="W114" s="12"/>
      <c r="X114" s="12"/>
      <c r="Y114" s="12"/>
      <c r="Z114" s="12"/>
      <c r="AA114" s="12"/>
    </row>
    <row r="115" spans="1:27" ht="15.75" customHeight="1">
      <c r="A115" s="69" t="s">
        <v>145</v>
      </c>
      <c r="B115" s="70" t="s">
        <v>146</v>
      </c>
      <c r="C115" s="70" t="s">
        <v>147</v>
      </c>
      <c r="D115" s="70" t="str">
        <f ca="1">IFERROR(__xludf.DUMMYFUNCTION("GOOGLETRANSLATE(B115,(""auto""),(""es""))"),"Preparación:")</f>
        <v>Preparación:</v>
      </c>
      <c r="E115" s="70" t="str">
        <f ca="1">IFERROR(__xludf.DUMMYFUNCTION("GOOGLETRANSLATE(C115,(""auto""),(""fr""))"),"Remarques")</f>
        <v>Remarques</v>
      </c>
      <c r="F115" s="70" t="str">
        <f ca="1">IFERROR(__xludf.DUMMYFUNCTION("GOOGLETRANSLATE(D115,(""auto""),(""IT""))"),"Preparazione:")</f>
        <v>Preparazione:</v>
      </c>
    </row>
    <row r="116" spans="1:27" ht="15.75" customHeight="1">
      <c r="A116" s="10">
        <v>1</v>
      </c>
      <c r="B116" s="11" t="s">
        <v>156</v>
      </c>
      <c r="C116" s="6"/>
      <c r="D116" s="11" t="str">
        <f ca="1">IFERROR(__xludf.DUMMYFUNCTION("GOOGLETRANSLATE(B116,(""auto""),(""es""))"),"Retire la canasta delantera - B0")</f>
        <v>Retire la canasta delantera - B0</v>
      </c>
      <c r="E116" s="11" t="str">
        <f ca="1">IFERROR(__xludf.DUMMYFUNCTION("GOOGLETRANSLATE(B116,(""auto""),(""FR""))"),"Retirez le panier avant - B0")</f>
        <v>Retirez le panier avant - B0</v>
      </c>
      <c r="F116" s="11" t="str">
        <f ca="1">IFERROR(__xludf.DUMMYFUNCTION("GOOGLETRANSLATE(B116,(""auto""),(""IT""))"),"Rimuovere il cestino anteriore - B0")</f>
        <v>Rimuovere il cestino anteriore - B0</v>
      </c>
      <c r="G116" s="12"/>
      <c r="H116" s="12"/>
      <c r="I116" s="12"/>
      <c r="J116" s="12"/>
      <c r="K116" s="12"/>
      <c r="L116" s="12"/>
      <c r="M116" s="12"/>
      <c r="N116" s="12"/>
      <c r="O116" s="12"/>
      <c r="P116" s="12"/>
      <c r="Q116" s="12"/>
      <c r="R116" s="12"/>
      <c r="S116" s="12"/>
      <c r="T116" s="12"/>
      <c r="U116" s="12"/>
      <c r="V116" s="12"/>
      <c r="W116" s="12"/>
      <c r="X116" s="12"/>
      <c r="Y116" s="12"/>
      <c r="Z116" s="12"/>
      <c r="AA116" s="12"/>
    </row>
    <row r="117" spans="1:27" ht="15.75" customHeight="1">
      <c r="A117" s="10">
        <v>2</v>
      </c>
      <c r="B117" s="11" t="s">
        <v>149</v>
      </c>
      <c r="C117" s="6"/>
      <c r="D117" s="11" t="str">
        <f ca="1">IFERROR(__xludf.DUMMYFUNCTION("GOOGLETRANSLATE(B117,(""auto""),(""es""))"),"Retire la cubierta frontal - B1")</f>
        <v>Retire la cubierta frontal - B1</v>
      </c>
      <c r="E117" s="11" t="str">
        <f ca="1">IFERROR(__xludf.DUMMYFUNCTION("GOOGLETRANSLATE(B117,(""auto""),(""FR""))"),"Retirez le couvercle avant - B1")</f>
        <v>Retirez le couvercle avant - B1</v>
      </c>
      <c r="F117" s="11" t="str">
        <f ca="1">IFERROR(__xludf.DUMMYFUNCTION("GOOGLETRANSLATE(B117,(""auto""),(""IT""))"),"Rimuovere il coperchio anteriore - B1")</f>
        <v>Rimuovere il coperchio anteriore - B1</v>
      </c>
      <c r="G117" s="12"/>
      <c r="H117" s="12"/>
      <c r="I117" s="12"/>
      <c r="J117" s="12"/>
      <c r="K117" s="12"/>
      <c r="L117" s="12"/>
      <c r="M117" s="12"/>
      <c r="N117" s="12"/>
      <c r="O117" s="12"/>
      <c r="P117" s="12"/>
      <c r="Q117" s="12"/>
      <c r="R117" s="12"/>
      <c r="S117" s="12"/>
      <c r="T117" s="12"/>
      <c r="U117" s="12"/>
      <c r="V117" s="12"/>
      <c r="W117" s="12"/>
      <c r="X117" s="12"/>
      <c r="Y117" s="12"/>
      <c r="Z117" s="12"/>
      <c r="AA117" s="12"/>
    </row>
    <row r="118" spans="1:27" ht="15.75" customHeight="1">
      <c r="A118" s="69" t="s">
        <v>150</v>
      </c>
      <c r="B118" s="70" t="s">
        <v>151</v>
      </c>
      <c r="C118" s="70" t="s">
        <v>152</v>
      </c>
      <c r="D118" s="70" t="str">
        <f ca="1">IFERROR(__xludf.DUMMYFUNCTION("GOOGLETRANSLATE(B118,(""auto""),(""es""))"),"Descripción")</f>
        <v>Descripción</v>
      </c>
      <c r="E118" s="70" t="str">
        <f ca="1">IFERROR(__xludf.DUMMYFUNCTION("GOOGLETRANSLATE(B118,(""auto""),(""fr""))"),"Description")</f>
        <v>Description</v>
      </c>
      <c r="F118" s="70" t="str">
        <f ca="1">IFERROR(__xludf.DUMMYFUNCTION("GOOGLETRANSLATE(D118,(""auto""),(""IT""))"),"Descrizione")</f>
        <v>Descrizione</v>
      </c>
      <c r="G118" s="12"/>
      <c r="H118" s="12"/>
      <c r="I118" s="12"/>
      <c r="J118" s="12"/>
      <c r="K118" s="12"/>
      <c r="L118" s="12"/>
      <c r="M118" s="12"/>
      <c r="N118" s="12"/>
      <c r="O118" s="12"/>
      <c r="P118" s="12"/>
      <c r="Q118" s="12"/>
      <c r="R118" s="12"/>
      <c r="S118" s="12"/>
      <c r="T118" s="12"/>
      <c r="U118" s="12"/>
      <c r="V118" s="12"/>
      <c r="W118" s="12"/>
      <c r="X118" s="12"/>
      <c r="Y118" s="12"/>
      <c r="Z118" s="12"/>
      <c r="AA118" s="12"/>
    </row>
    <row r="119" spans="1:27" ht="141" customHeight="1">
      <c r="A119" s="10">
        <v>1</v>
      </c>
      <c r="B119" s="11" t="s">
        <v>215</v>
      </c>
      <c r="C119" s="6"/>
      <c r="D119" s="11" t="str">
        <f ca="1">IFERROR(__xludf.DUMMYFUNCTION("GOOGLETRANSLATE(B119,(""auto""),(""es""))"),"
Desenchufar el conector USB,")</f>
        <v xml:space="preserve">
Desenchufar el conector USB,</v>
      </c>
      <c r="E119" s="11" t="str">
        <f ca="1">IFERROR(__xludf.DUMMYFUNCTION("GOOGLETRANSLATE(B119,(""auto""),(""FR""))"),"
Débranchez le connecteur USB,")</f>
        <v xml:space="preserve">
Débranchez le connecteur USB,</v>
      </c>
      <c r="F119" s="11" t="str">
        <f ca="1">IFERROR(__xludf.DUMMYFUNCTION("GOOGLETRANSLATE(B119,(""auto""),(""IT""))"),"
Scollegare il connettore USB,")</f>
        <v xml:space="preserve">
Scollegare il connettore USB,</v>
      </c>
      <c r="G119" s="12"/>
      <c r="H119" s="12"/>
      <c r="I119" s="12"/>
      <c r="J119" s="12"/>
      <c r="K119" s="12"/>
      <c r="L119" s="12"/>
      <c r="M119" s="12"/>
      <c r="N119" s="12"/>
      <c r="O119" s="12"/>
      <c r="P119" s="12"/>
      <c r="Q119" s="12"/>
      <c r="R119" s="12"/>
      <c r="S119" s="12"/>
      <c r="T119" s="12"/>
      <c r="U119" s="12"/>
      <c r="V119" s="12"/>
      <c r="W119" s="12"/>
      <c r="X119" s="12"/>
      <c r="Y119" s="12"/>
      <c r="Z119" s="12"/>
      <c r="AA119" s="12"/>
    </row>
    <row r="120" spans="1:27" ht="109.5" customHeight="1">
      <c r="A120" s="10">
        <v>2</v>
      </c>
      <c r="B120" s="11" t="s">
        <v>216</v>
      </c>
      <c r="C120" s="6"/>
      <c r="D120" s="11" t="str">
        <f ca="1">IFERROR(__xludf.DUMMYFUNCTION("GOOGLETRANSLATE(B120,(""auto""),(""es""))"),"
Empuje hacia atrás la interfaz USB y sáquela")</f>
        <v xml:space="preserve">
Empuje hacia atrás la interfaz USB y sáquela</v>
      </c>
      <c r="E120" s="11" t="str">
        <f ca="1">IFERROR(__xludf.DUMMYFUNCTION("GOOGLETRANSLATE(B120,(""auto""),(""FR""))"),"
Repoussez l'interface USB et retirez-le")</f>
        <v xml:space="preserve">
Repoussez l'interface USB et retirez-le</v>
      </c>
      <c r="F120" s="11" t="str">
        <f ca="1">IFERROR(__xludf.DUMMYFUNCTION("GOOGLETRANSLATE(B120,(""auto""),(""IT""))"),"
Spingere indietro l'interfaccia USB ed eliminarla")</f>
        <v xml:space="preserve">
Spingere indietro l'interfaccia USB ed eliminarla</v>
      </c>
      <c r="G120" s="12"/>
      <c r="H120" s="12"/>
      <c r="I120" s="12"/>
      <c r="J120" s="12"/>
      <c r="K120" s="12"/>
      <c r="L120" s="12"/>
      <c r="M120" s="12"/>
      <c r="N120" s="12"/>
      <c r="O120" s="12"/>
      <c r="P120" s="12"/>
      <c r="Q120" s="12"/>
      <c r="R120" s="12"/>
      <c r="S120" s="12"/>
      <c r="T120" s="12"/>
      <c r="U120" s="12"/>
      <c r="V120" s="12"/>
      <c r="W120" s="12"/>
      <c r="X120" s="12"/>
      <c r="Y120" s="12"/>
      <c r="Z120" s="12"/>
      <c r="AA120" s="12"/>
    </row>
    <row r="121" spans="1:27">
      <c r="A121" s="68"/>
      <c r="B121" s="68" t="s">
        <v>217</v>
      </c>
      <c r="C121" s="68"/>
      <c r="D121" s="68" t="s">
        <v>218</v>
      </c>
      <c r="E121" s="68" t="str">
        <f ca="1">IFERROR(__xludf.DUMMYFUNCTION("GOOGLETRANSLATE(B121,(""auto""),(""FR""))"),"A16 - feu arrière")</f>
        <v>A16 - feu arrière</v>
      </c>
      <c r="F121" s="68" t="str">
        <f ca="1">IFERROR(__xludf.DUMMYFUNCTION("GOOGLETRANSLATE(B121,(""auto""),(""IT""))"),"A16 - Coallight")</f>
        <v>A16 - Coallight</v>
      </c>
      <c r="G121" s="12"/>
      <c r="H121" s="12"/>
      <c r="I121" s="12"/>
      <c r="J121" s="12"/>
      <c r="K121" s="12"/>
      <c r="L121" s="12"/>
      <c r="M121" s="12"/>
      <c r="N121" s="12"/>
      <c r="O121" s="12"/>
      <c r="P121" s="12"/>
      <c r="Q121" s="12"/>
      <c r="R121" s="12"/>
      <c r="S121" s="12"/>
      <c r="T121" s="12"/>
      <c r="U121" s="12"/>
      <c r="V121" s="12"/>
      <c r="W121" s="12"/>
      <c r="X121" s="12"/>
      <c r="Y121" s="12"/>
      <c r="Z121" s="12"/>
      <c r="AA121" s="12"/>
    </row>
    <row r="122" spans="1:27" ht="15.75" customHeight="1">
      <c r="A122" s="69" t="s">
        <v>145</v>
      </c>
      <c r="B122" s="70" t="s">
        <v>146</v>
      </c>
      <c r="C122" s="70" t="s">
        <v>147</v>
      </c>
      <c r="D122" s="70" t="str">
        <f ca="1">IFERROR(__xludf.DUMMYFUNCTION("GOOGLETRANSLATE(B122,(""auto""),(""es""))"),"Preparación:")</f>
        <v>Preparación:</v>
      </c>
      <c r="E122" s="70" t="str">
        <f ca="1">IFERROR(__xludf.DUMMYFUNCTION("GOOGLETRANSLATE(C122,(""auto""),(""fr""))"),"Remarques")</f>
        <v>Remarques</v>
      </c>
      <c r="F122" s="70" t="str">
        <f ca="1">IFERROR(__xludf.DUMMYFUNCTION("GOOGLETRANSLATE(D122,(""auto""),(""IT""))"),"Preparazione:")</f>
        <v>Preparazione:</v>
      </c>
    </row>
    <row r="123" spans="1:27" ht="15.75" customHeight="1">
      <c r="A123" s="10">
        <v>1</v>
      </c>
      <c r="B123" s="11" t="s">
        <v>219</v>
      </c>
      <c r="C123" s="6"/>
      <c r="D123" s="11" t="str">
        <f ca="1">IFERROR(__xludf.DUMMYFUNCTION("GOOGLETRANSLATE(B123,(""auto""),(""es""))"),"Retire la caja de equipaje - B23")</f>
        <v>Retire la caja de equipaje - B23</v>
      </c>
      <c r="E123" s="11" t="str">
        <f ca="1">IFERROR(__xludf.DUMMYFUNCTION("GOOGLETRANSLATE(B123,(""auto""),(""FR""))"),"Retirez la boîte à bagages - B23")</f>
        <v>Retirez la boîte à bagages - B23</v>
      </c>
      <c r="F123" s="11" t="str">
        <f ca="1">IFERROR(__xludf.DUMMYFUNCTION("GOOGLETRANSLATE(B123,(""auto""),(""IT""))"),"Rimuovere la scatola dei bagagli - B23")</f>
        <v>Rimuovere la scatola dei bagagli - B23</v>
      </c>
      <c r="G123" s="12"/>
      <c r="H123" s="12"/>
      <c r="I123" s="12"/>
      <c r="J123" s="12"/>
      <c r="K123" s="12"/>
      <c r="L123" s="12"/>
      <c r="M123" s="12"/>
      <c r="N123" s="12"/>
      <c r="O123" s="12"/>
      <c r="P123" s="12"/>
      <c r="Q123" s="12"/>
      <c r="R123" s="12"/>
      <c r="S123" s="12"/>
      <c r="T123" s="12"/>
      <c r="U123" s="12"/>
      <c r="V123" s="12"/>
      <c r="W123" s="12"/>
      <c r="X123" s="12"/>
      <c r="Y123" s="12"/>
      <c r="Z123" s="12"/>
      <c r="AA123" s="12"/>
    </row>
    <row r="124" spans="1:27" ht="15.75" customHeight="1">
      <c r="A124" s="10">
        <v>2</v>
      </c>
      <c r="B124" s="11" t="s">
        <v>220</v>
      </c>
      <c r="C124" s="6"/>
      <c r="D124" s="11" t="str">
        <f ca="1">IFERROR(__xludf.DUMMYFUNCTION("GOOGLETRANSLATE(B124,(""auto""),(""es""))"),"Retire el estante trasero - B2")</f>
        <v>Retire el estante trasero - B2</v>
      </c>
      <c r="E124" s="11" t="str">
        <f ca="1">IFERROR(__xludf.DUMMYFUNCTION("GOOGLETRANSLATE(B124,(""auto""),(""FR""))"),"Retirez l'étagère arrière - B2")</f>
        <v>Retirez l'étagère arrière - B2</v>
      </c>
      <c r="F124" s="11" t="str">
        <f ca="1">IFERROR(__xludf.DUMMYFUNCTION("GOOGLETRANSLATE(B124,(""auto""),(""IT""))"),"Rimuovere lo scaffale posteriore - B2")</f>
        <v>Rimuovere lo scaffale posteriore - B2</v>
      </c>
      <c r="G124" s="12"/>
      <c r="H124" s="12"/>
      <c r="I124" s="12"/>
      <c r="J124" s="12"/>
      <c r="K124" s="12"/>
      <c r="L124" s="12"/>
      <c r="M124" s="12"/>
      <c r="N124" s="12"/>
      <c r="O124" s="12"/>
      <c r="P124" s="12"/>
      <c r="Q124" s="12"/>
      <c r="R124" s="12"/>
      <c r="S124" s="12"/>
      <c r="T124" s="12"/>
      <c r="U124" s="12"/>
      <c r="V124" s="12"/>
      <c r="W124" s="12"/>
      <c r="X124" s="12"/>
      <c r="Y124" s="12"/>
      <c r="Z124" s="12"/>
      <c r="AA124" s="12"/>
    </row>
    <row r="125" spans="1:27" ht="15.75" customHeight="1">
      <c r="A125" s="10">
        <v>3</v>
      </c>
      <c r="B125" s="11" t="s">
        <v>221</v>
      </c>
      <c r="C125" s="6"/>
      <c r="D125" s="11" t="str">
        <f ca="1">IFERROR(__xludf.DUMMYFUNCTION("GOOGLETRANSLATE(B125,(""auto""),(""es""))"),"Retire la cubierta central trasera - B4")</f>
        <v>Retire la cubierta central trasera - B4</v>
      </c>
      <c r="E125" s="11" t="str">
        <f ca="1">IFERROR(__xludf.DUMMYFUNCTION("GOOGLETRANSLATE(B125,(""auto""),(""FR""))"),"Retirez le couvercle central arrière - B4")</f>
        <v>Retirez le couvercle central arrière - B4</v>
      </c>
      <c r="F125" s="11" t="str">
        <f ca="1">IFERROR(__xludf.DUMMYFUNCTION("GOOGLETRANSLATE(B125,(""auto""),(""IT""))"),"Rimuovere il coperchio centrale posteriore - B4")</f>
        <v>Rimuovere il coperchio centrale posteriore - B4</v>
      </c>
      <c r="G125" s="12"/>
      <c r="H125" s="12"/>
      <c r="I125" s="12"/>
      <c r="J125" s="12"/>
      <c r="K125" s="12"/>
      <c r="L125" s="12"/>
      <c r="M125" s="12"/>
      <c r="N125" s="12"/>
      <c r="O125" s="12"/>
      <c r="P125" s="12"/>
      <c r="Q125" s="12"/>
      <c r="R125" s="12"/>
      <c r="S125" s="12"/>
      <c r="T125" s="12"/>
      <c r="U125" s="12"/>
      <c r="V125" s="12"/>
      <c r="W125" s="12"/>
      <c r="X125" s="12"/>
      <c r="Y125" s="12"/>
      <c r="Z125" s="12"/>
      <c r="AA125" s="12"/>
    </row>
    <row r="126" spans="1:27" ht="15.75" customHeight="1">
      <c r="A126" s="69" t="s">
        <v>150</v>
      </c>
      <c r="B126" s="70" t="s">
        <v>151</v>
      </c>
      <c r="C126" s="70" t="s">
        <v>152</v>
      </c>
      <c r="D126" s="70" t="str">
        <f ca="1">IFERROR(__xludf.DUMMYFUNCTION("GOOGLETRANSLATE(B126,(""auto""),(""es""))"),"Descripción")</f>
        <v>Descripción</v>
      </c>
      <c r="E126" s="70" t="str">
        <f ca="1">IFERROR(__xludf.DUMMYFUNCTION("GOOGLETRANSLATE(B126,(""auto""),(""fr""))"),"Description")</f>
        <v>Description</v>
      </c>
      <c r="F126" s="70" t="str">
        <f ca="1">IFERROR(__xludf.DUMMYFUNCTION("GOOGLETRANSLATE(D126,(""auto""),(""IT""))"),"Descrizione")</f>
        <v>Descrizione</v>
      </c>
      <c r="G126" s="12"/>
      <c r="H126" s="12"/>
      <c r="I126" s="12"/>
      <c r="J126" s="12"/>
      <c r="K126" s="12"/>
      <c r="L126" s="12"/>
      <c r="M126" s="12"/>
      <c r="N126" s="12"/>
      <c r="O126" s="12"/>
      <c r="P126" s="12"/>
      <c r="Q126" s="12"/>
      <c r="R126" s="12"/>
      <c r="S126" s="12"/>
      <c r="T126" s="12"/>
      <c r="U126" s="12"/>
      <c r="V126" s="12"/>
      <c r="W126" s="12"/>
      <c r="X126" s="12"/>
      <c r="Y126" s="12"/>
      <c r="Z126" s="12"/>
      <c r="AA126" s="12"/>
    </row>
    <row r="127" spans="1:27" ht="15.75" customHeight="1">
      <c r="A127" s="10">
        <v>1</v>
      </c>
      <c r="B127" s="11" t="s">
        <v>222</v>
      </c>
      <c r="C127" s="6"/>
      <c r="D127" s="11" t="str">
        <f ca="1">IFERROR(__xludf.DUMMYFUNCTION("GOOGLETRANSLATE(B127,(""auto""),(""es""))"),"
Desenchufar el arnés de cableado de la luz trasera")</f>
        <v xml:space="preserve">
Desenchufar el arnés de cableado de la luz trasera</v>
      </c>
      <c r="E127" s="11" t="str">
        <f ca="1">IFERROR(__xludf.DUMMYFUNCTION("GOOGLETRANSLATE(B127,(""auto""),(""FR""))"),"
Débranchez le faisceau de câbles de feu arrière")</f>
        <v xml:space="preserve">
Débranchez le faisceau de câbles de feu arrière</v>
      </c>
      <c r="F127" s="11" t="str">
        <f ca="1">IFERROR(__xludf.DUMMYFUNCTION("GOOGLETRANSLATE(B127,(""auto""),(""IT""))"),"
Scollegare")</f>
        <v xml:space="preserve">
Scollegare</v>
      </c>
      <c r="G127" s="12"/>
      <c r="H127" s="12"/>
      <c r="I127" s="12"/>
      <c r="J127" s="12"/>
      <c r="K127" s="12"/>
      <c r="L127" s="12"/>
      <c r="M127" s="12"/>
      <c r="N127" s="12"/>
      <c r="O127" s="12"/>
      <c r="P127" s="12"/>
      <c r="Q127" s="12"/>
      <c r="R127" s="12"/>
      <c r="S127" s="12"/>
      <c r="T127" s="12"/>
      <c r="U127" s="12"/>
      <c r="V127" s="12"/>
      <c r="W127" s="12"/>
      <c r="X127" s="12"/>
      <c r="Y127" s="12"/>
      <c r="Z127" s="12"/>
      <c r="AA127" s="12"/>
    </row>
    <row r="128" spans="1:27" ht="109.5" customHeight="1">
      <c r="A128" s="10">
        <v>2</v>
      </c>
      <c r="B128" s="11" t="s">
        <v>223</v>
      </c>
      <c r="C128" s="6"/>
      <c r="D128" s="11" t="str">
        <f ca="1">IFERROR(__xludf.DUMMYFUNCTION("GOOGLETRANSLATE(B128,(""auto""),(""es""))"),"
Retire los tres tornillos en el círculo rojo con un destornillador de Phillips y retire la luz trasera")</f>
        <v xml:space="preserve">
Retire los tres tornillos en el círculo rojo con un destornillador de Phillips y retire la luz trasera</v>
      </c>
      <c r="E128" s="11" t="str">
        <f ca="1">IFERROR(__xludf.DUMMYFUNCTION("GOOGLETRANSLATE(B128,(""auto""),(""FR""))"),"
Retirez les trois vis dans le cercle rouge avec un tournevis Phillips et retirez le feu arrière")</f>
        <v xml:space="preserve">
Retirez les trois vis dans le cercle rouge avec un tournevis Phillips et retirez le feu arrière</v>
      </c>
      <c r="F128" s="11" t="str">
        <f ca="1">IFERROR(__xludf.DUMMYFUNCTION("GOOGLETRANSLATE(B128,(""auto""),(""IT""))"),"
Rimuovere le tre viti nel cerchio rosso con un cacciavite Phillips e rimuovere il fanale posteriore")</f>
        <v xml:space="preserve">
Rimuovere le tre viti nel cerchio rosso con un cacciavite Phillips e rimuovere il fanale posteriore</v>
      </c>
      <c r="G128" s="12"/>
      <c r="H128" s="12"/>
      <c r="I128" s="12"/>
      <c r="J128" s="12"/>
      <c r="K128" s="12"/>
      <c r="L128" s="12"/>
      <c r="M128" s="12"/>
      <c r="N128" s="12"/>
      <c r="O128" s="12"/>
      <c r="P128" s="12"/>
      <c r="Q128" s="12"/>
      <c r="R128" s="12"/>
      <c r="S128" s="12"/>
      <c r="T128" s="12"/>
      <c r="U128" s="12"/>
      <c r="V128" s="12"/>
      <c r="W128" s="12"/>
      <c r="X128" s="12"/>
      <c r="Y128" s="12"/>
      <c r="Z128" s="12"/>
      <c r="AA128" s="12"/>
    </row>
    <row r="129" spans="1:27">
      <c r="A129" s="68"/>
      <c r="B129" s="68" t="s">
        <v>224</v>
      </c>
      <c r="C129" s="68"/>
      <c r="D129" s="68" t="str">
        <f ca="1">IFERROR(__xludf.DUMMYFUNCTION("GOOGLETRANSLATE(B129,(""auto""),(""es""))"),"A17 - Winker trasero")</f>
        <v>A17 - Winker trasero</v>
      </c>
      <c r="E129" s="68" t="str">
        <f ca="1">IFERROR(__xludf.DUMMYFUNCTION("GOOGLETRANSLATE(B129,(""auto""),(""FR""))"),"A17 - Winker arrière")</f>
        <v>A17 - Winker arrière</v>
      </c>
      <c r="F129" s="68" t="str">
        <f ca="1">IFERROR(__xludf.DUMMYFUNCTION("GOOGLETRANSLATE(B129,(""auto""),(""IT""))"),"A17 - Winker posteriore")</f>
        <v>A17 - Winker posteriore</v>
      </c>
      <c r="G129" s="12"/>
      <c r="H129" s="12"/>
      <c r="I129" s="12"/>
      <c r="J129" s="12"/>
      <c r="K129" s="12"/>
      <c r="L129" s="12"/>
      <c r="M129" s="12"/>
      <c r="N129" s="12"/>
      <c r="O129" s="12"/>
      <c r="P129" s="12"/>
      <c r="Q129" s="12"/>
      <c r="R129" s="12"/>
      <c r="S129" s="12"/>
      <c r="T129" s="12"/>
      <c r="U129" s="12"/>
      <c r="V129" s="12"/>
      <c r="W129" s="12"/>
      <c r="X129" s="12"/>
      <c r="Y129" s="12"/>
      <c r="Z129" s="12"/>
      <c r="AA129" s="12"/>
    </row>
    <row r="130" spans="1:27" ht="15.75" customHeight="1">
      <c r="A130" s="69" t="s">
        <v>145</v>
      </c>
      <c r="B130" s="70" t="s">
        <v>146</v>
      </c>
      <c r="C130" s="70" t="s">
        <v>147</v>
      </c>
      <c r="D130" s="70" t="str">
        <f ca="1">IFERROR(__xludf.DUMMYFUNCTION("GOOGLETRANSLATE(B130,(""auto""),(""es""))"),"Preparación:")</f>
        <v>Preparación:</v>
      </c>
      <c r="E130" s="70" t="str">
        <f ca="1">IFERROR(__xludf.DUMMYFUNCTION("GOOGLETRANSLATE(C130,(""auto""),(""fr""))"),"Remarques")</f>
        <v>Remarques</v>
      </c>
      <c r="F130" s="70" t="str">
        <f ca="1">IFERROR(__xludf.DUMMYFUNCTION("GOOGLETRANSLATE(D130,(""auto""),(""IT""))"),"Preparazione:")</f>
        <v>Preparazione:</v>
      </c>
    </row>
    <row r="131" spans="1:27" ht="51" customHeight="1">
      <c r="A131" s="10">
        <v>1</v>
      </c>
      <c r="B131" s="11" t="s">
        <v>219</v>
      </c>
      <c r="C131" s="6"/>
      <c r="D131" s="11" t="str">
        <f ca="1">IFERROR(__xludf.DUMMYFUNCTION("GOOGLETRANSLATE(B131,(""auto""),(""es""))"),"Retire la caja de equipaje - B23")</f>
        <v>Retire la caja de equipaje - B23</v>
      </c>
      <c r="E131" s="11" t="str">
        <f ca="1">IFERROR(__xludf.DUMMYFUNCTION("GOOGLETRANSLATE(B131,(""auto""),(""FR""))"),"Retirez la boîte à bagages - B23")</f>
        <v>Retirez la boîte à bagages - B23</v>
      </c>
      <c r="F131" s="11" t="str">
        <f ca="1">IFERROR(__xludf.DUMMYFUNCTION("GOOGLETRANSLATE(B131,(""auto""),(""IT""))"),"Rimuovere la scatola dei bagagli - B23")</f>
        <v>Rimuovere la scatola dei bagagli - B23</v>
      </c>
      <c r="G131" s="12"/>
      <c r="H131" s="12"/>
      <c r="I131" s="12"/>
      <c r="J131" s="12"/>
      <c r="K131" s="12"/>
      <c r="L131" s="12"/>
      <c r="M131" s="12"/>
      <c r="N131" s="12"/>
      <c r="O131" s="12"/>
      <c r="P131" s="12"/>
      <c r="Q131" s="12"/>
      <c r="R131" s="12"/>
      <c r="S131" s="12"/>
      <c r="T131" s="12"/>
      <c r="U131" s="12"/>
      <c r="V131" s="12"/>
      <c r="W131" s="12"/>
      <c r="X131" s="12"/>
      <c r="Y131" s="12"/>
      <c r="Z131" s="12"/>
      <c r="AA131" s="12"/>
    </row>
    <row r="132" spans="1:27" ht="51" customHeight="1">
      <c r="A132" s="10">
        <v>2</v>
      </c>
      <c r="B132" s="11" t="s">
        <v>220</v>
      </c>
      <c r="C132" s="6"/>
      <c r="D132" s="11" t="str">
        <f ca="1">IFERROR(__xludf.DUMMYFUNCTION("GOOGLETRANSLATE(B132,(""auto""),(""es""))"),"Retire el estante trasero - B2")</f>
        <v>Retire el estante trasero - B2</v>
      </c>
      <c r="E132" s="11" t="str">
        <f ca="1">IFERROR(__xludf.DUMMYFUNCTION("GOOGLETRANSLATE(B132,(""auto""),(""FR""))"),"Retirez l'étagère arrière - B2")</f>
        <v>Retirez l'étagère arrière - B2</v>
      </c>
      <c r="F132" s="11" t="str">
        <f ca="1">IFERROR(__xludf.DUMMYFUNCTION("GOOGLETRANSLATE(B132,(""auto""),(""IT""))"),"Rimuovere lo scaffale posteriore - B2")</f>
        <v>Rimuovere lo scaffale posteriore - B2</v>
      </c>
      <c r="G132" s="12"/>
      <c r="H132" s="12"/>
      <c r="I132" s="12"/>
      <c r="J132" s="12"/>
      <c r="K132" s="12"/>
      <c r="L132" s="12"/>
      <c r="M132" s="12"/>
      <c r="N132" s="12"/>
      <c r="O132" s="12"/>
      <c r="P132" s="12"/>
      <c r="Q132" s="12"/>
      <c r="R132" s="12"/>
      <c r="S132" s="12"/>
      <c r="T132" s="12"/>
      <c r="U132" s="12"/>
      <c r="V132" s="12"/>
      <c r="W132" s="12"/>
      <c r="X132" s="12"/>
      <c r="Y132" s="12"/>
      <c r="Z132" s="12"/>
      <c r="AA132" s="12"/>
    </row>
    <row r="133" spans="1:27" ht="15.75" customHeight="1">
      <c r="A133" s="10">
        <v>3</v>
      </c>
      <c r="B133" s="11" t="s">
        <v>221</v>
      </c>
      <c r="C133" s="6"/>
      <c r="D133" s="11" t="str">
        <f ca="1">IFERROR(__xludf.DUMMYFUNCTION("GOOGLETRANSLATE(B133,(""auto""),(""es""))"),"Retire la cubierta central trasera - B4")</f>
        <v>Retire la cubierta central trasera - B4</v>
      </c>
      <c r="E133" s="11" t="str">
        <f ca="1">IFERROR(__xludf.DUMMYFUNCTION("GOOGLETRANSLATE(B133,(""auto""),(""FR""))"),"Retirez le couvercle central arrière - B4")</f>
        <v>Retirez le couvercle central arrière - B4</v>
      </c>
      <c r="F133" s="11" t="str">
        <f ca="1">IFERROR(__xludf.DUMMYFUNCTION("GOOGLETRANSLATE(B133,(""auto""),(""IT""))"),"Rimuovere il coperchio centrale posteriore - B4")</f>
        <v>Rimuovere il coperchio centrale posteriore - B4</v>
      </c>
      <c r="G133" s="12"/>
      <c r="H133" s="12"/>
      <c r="I133" s="12"/>
      <c r="J133" s="12"/>
      <c r="K133" s="12"/>
      <c r="L133" s="12"/>
      <c r="M133" s="12"/>
      <c r="N133" s="12"/>
      <c r="O133" s="12"/>
      <c r="P133" s="12"/>
      <c r="Q133" s="12"/>
      <c r="R133" s="12"/>
      <c r="S133" s="12"/>
      <c r="T133" s="12"/>
      <c r="U133" s="12"/>
      <c r="V133" s="12"/>
      <c r="W133" s="12"/>
      <c r="X133" s="12"/>
      <c r="Y133" s="12"/>
      <c r="Z133" s="12"/>
      <c r="AA133" s="12"/>
    </row>
    <row r="134" spans="1:27" ht="15.75" customHeight="1">
      <c r="A134" s="69" t="s">
        <v>150</v>
      </c>
      <c r="B134" s="70" t="s">
        <v>151</v>
      </c>
      <c r="C134" s="70" t="s">
        <v>152</v>
      </c>
      <c r="D134" s="70" t="str">
        <f ca="1">IFERROR(__xludf.DUMMYFUNCTION("GOOGLETRANSLATE(B134,(""auto""),(""es""))"),"Descripción")</f>
        <v>Descripción</v>
      </c>
      <c r="E134" s="70" t="str">
        <f ca="1">IFERROR(__xludf.DUMMYFUNCTION("GOOGLETRANSLATE(B134,(""auto""),(""fr""))"),"Description")</f>
        <v>Description</v>
      </c>
      <c r="F134" s="70" t="str">
        <f ca="1">IFERROR(__xludf.DUMMYFUNCTION("GOOGLETRANSLATE(D134,(""auto""),(""IT""))"),"Descrizione")</f>
        <v>Descrizione</v>
      </c>
      <c r="G134" s="12"/>
      <c r="H134" s="12"/>
      <c r="I134" s="12"/>
      <c r="J134" s="12"/>
      <c r="K134" s="12"/>
      <c r="L134" s="12"/>
      <c r="M134" s="12"/>
      <c r="N134" s="12"/>
      <c r="O134" s="12"/>
      <c r="P134" s="12"/>
      <c r="Q134" s="12"/>
      <c r="R134" s="12"/>
      <c r="S134" s="12"/>
      <c r="T134" s="12"/>
      <c r="U134" s="12"/>
      <c r="V134" s="12"/>
      <c r="W134" s="12"/>
      <c r="X134" s="12"/>
      <c r="Y134" s="12"/>
      <c r="Z134" s="12"/>
      <c r="AA134" s="12"/>
    </row>
    <row r="135" spans="1:27" ht="110.25" customHeight="1">
      <c r="A135" s="10">
        <v>1</v>
      </c>
      <c r="B135" s="11" t="s">
        <v>225</v>
      </c>
      <c r="C135" s="6"/>
      <c r="D135" s="11" t="str">
        <f ca="1">IFERROR(__xludf.DUMMYFUNCTION("GOOGLETRANSLATE(B135,(""auto""),(""es""))"),"
Desenchufar conectores de manteca trasera izquierda y derecha")</f>
        <v xml:space="preserve">
Desenchufar conectores de manteca trasera izquierda y derecha</v>
      </c>
      <c r="E135" s="11" t="str">
        <f ca="1">IFERROR(__xludf.DUMMYFUNCTION("GOOGLETRANSLATE(B135,(""auto""),(""FR""))"),"
Débranchez les connecteurs de clinchoirs arrière gauche et droite")</f>
        <v xml:space="preserve">
Débranchez les connecteurs de clinchoirs arrière gauche et droite</v>
      </c>
      <c r="F135" s="11" t="str">
        <f ca="1">IFERROR(__xludf.DUMMYFUNCTION("GOOGLETRANSLATE(B135,(""auto""),(""IT""))"),"
Scollegare i connettori degli slogan posteriori sinistra e destra")</f>
        <v xml:space="preserve">
Scollegare i connettori degli slogan posteriori sinistra e destra</v>
      </c>
      <c r="G135" s="12"/>
      <c r="H135" s="12"/>
      <c r="I135" s="12"/>
      <c r="J135" s="12"/>
      <c r="K135" s="12"/>
      <c r="L135" s="12"/>
      <c r="M135" s="12"/>
      <c r="N135" s="12"/>
      <c r="O135" s="12"/>
      <c r="P135" s="12"/>
      <c r="Q135" s="12"/>
      <c r="R135" s="12"/>
      <c r="S135" s="12"/>
      <c r="T135" s="12"/>
      <c r="U135" s="12"/>
      <c r="V135" s="12"/>
      <c r="W135" s="12"/>
      <c r="X135" s="12"/>
      <c r="Y135" s="12"/>
      <c r="Z135" s="12"/>
      <c r="AA135" s="12"/>
    </row>
    <row r="136" spans="1:27" ht="98.25" customHeight="1">
      <c r="A136" s="10">
        <v>2</v>
      </c>
      <c r="B136" s="11" t="s">
        <v>226</v>
      </c>
      <c r="C136" s="6"/>
      <c r="D136" s="11" t="str">
        <f ca="1">IFERROR(__xludf.DUMMYFUNCTION("GOOGLETRANSLATE(B136,(""auto""),(""es""))"),"
Retire la tuerca de retención con una llave abierta de 14 mm y retire las guarniciones traseras")</f>
        <v xml:space="preserve">
Retire la tuerca de retención con una llave abierta de 14 mm y retire las guarniciones traseras</v>
      </c>
      <c r="E136" s="11" t="str">
        <f ca="1">IFERROR(__xludf.DUMMYFUNCTION("GOOGLETRANSLATE(B136,(""auto""),(""FR""))"),"
Retirez l'écrou de retenue avec une clé ouverte de 14 mm et retirez les clignotements arrière")</f>
        <v xml:space="preserve">
Retirez l'écrou de retenue avec une clé ouverte de 14 mm et retirez les clignotements arrière</v>
      </c>
      <c r="F136" s="11" t="str">
        <f ca="1">IFERROR(__xludf.DUMMYFUNCTION("GOOGLETRANSLATE(B136,(""auto""),(""IT""))"),"
Rimuovere il dado di fissaggio con una chiave aperta da 14 mm e rimuovere gli occhiali posteriori")</f>
        <v xml:space="preserve">
Rimuovere il dado di fissaggio con una chiave aperta da 14 mm e rimuovere gli occhiali posteriori</v>
      </c>
      <c r="G136" s="12"/>
      <c r="H136" s="12"/>
      <c r="I136" s="12"/>
      <c r="J136" s="12"/>
      <c r="K136" s="12"/>
      <c r="L136" s="12"/>
      <c r="M136" s="12"/>
      <c r="N136" s="12"/>
      <c r="O136" s="12"/>
      <c r="P136" s="12"/>
      <c r="Q136" s="12"/>
      <c r="R136" s="12"/>
      <c r="S136" s="12"/>
      <c r="T136" s="12"/>
      <c r="U136" s="12"/>
      <c r="V136" s="12"/>
      <c r="W136" s="12"/>
      <c r="X136" s="12"/>
      <c r="Y136" s="12"/>
      <c r="Z136" s="12"/>
      <c r="AA136" s="12"/>
    </row>
    <row r="137" spans="1:27">
      <c r="A137" s="68"/>
      <c r="B137" s="68" t="s">
        <v>227</v>
      </c>
      <c r="C137" s="68"/>
      <c r="D137" s="68" t="str">
        <f ca="1">IFERROR(__xludf.DUMMYFUNCTION("GOOGLETRANSLATE(B137,(""auto""),(""es""))"),"A18 - Conjunto de interruptor de soporte lateral")</f>
        <v>A18 - Conjunto de interruptor de soporte lateral</v>
      </c>
      <c r="E137" s="68" t="str">
        <f ca="1">IFERROR(__xludf.DUMMYFUNCTION("GOOGLETRANSLATE(B137,(""auto""),(""FR""))"),"A18 - Interrupteur de support latéral")</f>
        <v>A18 - Interrupteur de support latéral</v>
      </c>
      <c r="F137" s="68" t="str">
        <f ca="1">IFERROR(__xludf.DUMMYFUNCTION("GOOGLETRANSLATE(B137,(""auto""),(""IT""))"),"A18 - set di interruttore di supporto laterale")</f>
        <v>A18 - set di interruttore di supporto laterale</v>
      </c>
      <c r="G137" s="12"/>
      <c r="H137" s="12"/>
      <c r="I137" s="12"/>
      <c r="J137" s="12"/>
      <c r="K137" s="12"/>
      <c r="L137" s="12"/>
      <c r="M137" s="12"/>
      <c r="N137" s="12"/>
      <c r="O137" s="12"/>
      <c r="P137" s="12"/>
      <c r="Q137" s="12"/>
      <c r="R137" s="12"/>
      <c r="S137" s="12"/>
      <c r="T137" s="12"/>
      <c r="U137" s="12"/>
      <c r="V137" s="12"/>
      <c r="W137" s="12"/>
      <c r="X137" s="12"/>
      <c r="Y137" s="12"/>
      <c r="Z137" s="12"/>
      <c r="AA137" s="12"/>
    </row>
    <row r="138" spans="1:27" ht="15.75" customHeight="1">
      <c r="A138" s="69" t="s">
        <v>145</v>
      </c>
      <c r="B138" s="70" t="s">
        <v>146</v>
      </c>
      <c r="C138" s="70" t="s">
        <v>147</v>
      </c>
      <c r="D138" s="70" t="str">
        <f ca="1">IFERROR(__xludf.DUMMYFUNCTION("GOOGLETRANSLATE(B138,(""auto""),(""es""))"),"Preparación:")</f>
        <v>Preparación:</v>
      </c>
      <c r="E138" s="70" t="str">
        <f ca="1">IFERROR(__xludf.DUMMYFUNCTION("GOOGLETRANSLATE(C138,(""auto""),(""fr""))"),"Remarques")</f>
        <v>Remarques</v>
      </c>
      <c r="F138" s="70" t="str">
        <f ca="1">IFERROR(__xludf.DUMMYFUNCTION("GOOGLETRANSLATE(D138,(""auto""),(""IT""))"),"Preparazione:")</f>
        <v>Preparazione:</v>
      </c>
    </row>
    <row r="139" spans="1:27" ht="15.75" customHeight="1">
      <c r="A139" s="10">
        <v>1</v>
      </c>
      <c r="B139" s="11" t="s">
        <v>156</v>
      </c>
      <c r="C139" s="6"/>
      <c r="D139" s="11" t="str">
        <f ca="1">IFERROR(__xludf.DUMMYFUNCTION("GOOGLETRANSLATE(B139,(""auto""),(""es""))"),"Retire la canasta delantera - B0")</f>
        <v>Retire la canasta delantera - B0</v>
      </c>
      <c r="E139" s="11" t="str">
        <f ca="1">IFERROR(__xludf.DUMMYFUNCTION("GOOGLETRANSLATE(B139,(""auto""),(""FR""))"),"Retirez le panier avant - B0")</f>
        <v>Retirez le panier avant - B0</v>
      </c>
      <c r="F139" s="11" t="str">
        <f ca="1">IFERROR(__xludf.DUMMYFUNCTION("GOOGLETRANSLATE(B139,(""auto""),(""IT""))"),"Rimuovere il cestino anteriore - B0")</f>
        <v>Rimuovere il cestino anteriore - B0</v>
      </c>
      <c r="G139" s="12"/>
      <c r="H139" s="12"/>
      <c r="I139" s="12"/>
      <c r="J139" s="12"/>
      <c r="K139" s="12"/>
      <c r="L139" s="12"/>
      <c r="M139" s="12"/>
      <c r="N139" s="12"/>
      <c r="O139" s="12"/>
      <c r="P139" s="12"/>
      <c r="Q139" s="12"/>
      <c r="R139" s="12"/>
      <c r="S139" s="12"/>
      <c r="T139" s="12"/>
      <c r="U139" s="12"/>
      <c r="V139" s="12"/>
      <c r="W139" s="12"/>
      <c r="X139" s="12"/>
      <c r="Y139" s="12"/>
      <c r="Z139" s="12"/>
      <c r="AA139" s="12"/>
    </row>
    <row r="140" spans="1:27" ht="15.75" customHeight="1">
      <c r="A140" s="10">
        <v>2</v>
      </c>
      <c r="B140" s="11" t="s">
        <v>149</v>
      </c>
      <c r="C140" s="6"/>
      <c r="D140" s="11" t="str">
        <f ca="1">IFERROR(__xludf.DUMMYFUNCTION("GOOGLETRANSLATE(B140,(""auto""),(""es""))"),"Retire la cubierta frontal - B1")</f>
        <v>Retire la cubierta frontal - B1</v>
      </c>
      <c r="E140" s="11" t="str">
        <f ca="1">IFERROR(__xludf.DUMMYFUNCTION("GOOGLETRANSLATE(B140,(""auto""),(""FR""))"),"Retirez le couvercle avant - B1")</f>
        <v>Retirez le couvercle avant - B1</v>
      </c>
      <c r="F140" s="11" t="str">
        <f ca="1">IFERROR(__xludf.DUMMYFUNCTION("GOOGLETRANSLATE(B140,(""auto""),(""IT""))"),"Rimuovere il coperchio anteriore - B1")</f>
        <v>Rimuovere il coperchio anteriore - B1</v>
      </c>
      <c r="G140" s="12"/>
      <c r="H140" s="12"/>
      <c r="I140" s="12"/>
      <c r="J140" s="12"/>
      <c r="K140" s="12"/>
      <c r="L140" s="12"/>
      <c r="M140" s="12"/>
      <c r="N140" s="12"/>
      <c r="O140" s="12"/>
      <c r="P140" s="12"/>
      <c r="Q140" s="12"/>
      <c r="R140" s="12"/>
      <c r="S140" s="12"/>
      <c r="T140" s="12"/>
      <c r="U140" s="12"/>
      <c r="V140" s="12"/>
      <c r="W140" s="12"/>
      <c r="X140" s="12"/>
      <c r="Y140" s="12"/>
      <c r="Z140" s="12"/>
      <c r="AA140" s="12"/>
    </row>
    <row r="141" spans="1:27" ht="15.75" customHeight="1">
      <c r="A141" s="10">
        <v>3</v>
      </c>
      <c r="B141" s="11" t="s">
        <v>228</v>
      </c>
      <c r="C141" s="6"/>
      <c r="D141" s="11" t="str">
        <f ca="1">IFERROR(__xludf.DUMMYFUNCTION("GOOGLETRANSLATE(B141,(""auto""),(""es""))"),"Retire los escudos delanteros izquierdo y derecho - B5")</f>
        <v>Retire los escudos delanteros izquierdo y derecho - B5</v>
      </c>
      <c r="E141" s="11" t="str">
        <f ca="1">IFERROR(__xludf.DUMMYFUNCTION("GOOGLETRANSLATE(B141,(""auto""),(""FR""))"),"Retirez les boucliers avant gauche et droit - B5")</f>
        <v>Retirez les boucliers avant gauche et droit - B5</v>
      </c>
      <c r="F141" s="11" t="str">
        <f ca="1">IFERROR(__xludf.DUMMYFUNCTION("GOOGLETRANSLATE(B141,(""auto""),(""IT""))"),"Rimuovere gli scudi anteriori sinistro e destro - B5")</f>
        <v>Rimuovere gli scudi anteriori sinistro e destro - B5</v>
      </c>
      <c r="G141" s="12"/>
      <c r="H141" s="12"/>
      <c r="I141" s="12"/>
      <c r="J141" s="12"/>
      <c r="K141" s="12"/>
      <c r="L141" s="12"/>
      <c r="M141" s="12"/>
      <c r="N141" s="12"/>
      <c r="O141" s="12"/>
      <c r="P141" s="12"/>
      <c r="Q141" s="12"/>
      <c r="R141" s="12"/>
      <c r="S141" s="12"/>
      <c r="T141" s="12"/>
      <c r="U141" s="12"/>
      <c r="V141" s="12"/>
      <c r="W141" s="12"/>
      <c r="X141" s="12"/>
      <c r="Y141" s="12"/>
      <c r="Z141" s="12"/>
      <c r="AA141" s="12"/>
    </row>
    <row r="142" spans="1:27" ht="15.75" customHeight="1">
      <c r="A142" s="10">
        <v>4</v>
      </c>
      <c r="B142" s="11" t="s">
        <v>229</v>
      </c>
      <c r="C142" s="6"/>
      <c r="D142" s="11" t="str">
        <f ca="1">IFERROR(__xludf.DUMMYFUNCTION("GOOGLETRANSLATE(B142,(""auto""),(""es""))"),"Quítate el pedal - B7")</f>
        <v>Quítate el pedal - B7</v>
      </c>
      <c r="E142" s="11" t="str">
        <f ca="1">IFERROR(__xludf.DUMMYFUNCTION("GOOGLETRANSLATE(B142,(""auto""),(""FR""))"),"Enlever la pédale - B7")</f>
        <v>Enlever la pédale - B7</v>
      </c>
      <c r="F142" s="11" t="str">
        <f ca="1">IFERROR(__xludf.DUMMYFUNCTION("GOOGLETRANSLATE(B142,(""auto""),(""IT""))"),"Togli il pedale - B7")</f>
        <v>Togli il pedale - B7</v>
      </c>
      <c r="G142" s="12"/>
      <c r="H142" s="12"/>
      <c r="I142" s="12"/>
      <c r="J142" s="12"/>
      <c r="K142" s="12"/>
      <c r="L142" s="12"/>
      <c r="M142" s="12"/>
      <c r="N142" s="12"/>
      <c r="O142" s="12"/>
      <c r="P142" s="12"/>
      <c r="Q142" s="12"/>
      <c r="R142" s="12"/>
      <c r="S142" s="12"/>
      <c r="T142" s="12"/>
      <c r="U142" s="12"/>
      <c r="V142" s="12"/>
      <c r="W142" s="12"/>
      <c r="X142" s="12"/>
      <c r="Y142" s="12"/>
      <c r="Z142" s="12"/>
      <c r="AA142" s="12"/>
    </row>
    <row r="143" spans="1:27" ht="15.75" customHeight="1">
      <c r="A143" s="10">
        <v>5</v>
      </c>
      <c r="B143" s="11" t="s">
        <v>230</v>
      </c>
      <c r="C143" s="6"/>
      <c r="D143" s="11" t="str">
        <f ca="1">IFERROR(__xludf.DUMMYFUNCTION("GOOGLETRANSLATE(B143,(""auto""),(""es""))"),"Retire la cubierta del compartimento de la batería - B23")</f>
        <v>Retire la cubierta del compartimento de la batería - B23</v>
      </c>
      <c r="E143" s="11" t="str">
        <f ca="1">IFERROR(__xludf.DUMMYFUNCTION("GOOGLETRANSLATE(B143,(""auto""),(""FR""))"),"Retirez le couvercle du compartiment de la batterie - B23")</f>
        <v>Retirez le couvercle du compartiment de la batterie - B23</v>
      </c>
      <c r="F143" s="11" t="str">
        <f ca="1">IFERROR(__xludf.DUMMYFUNCTION("GOOGLETRANSLATE(B143,(""auto""),(""IT""))"),"Rimuovere il coperchio del vano batteria - B23")</f>
        <v>Rimuovere il coperchio del vano batteria - B23</v>
      </c>
      <c r="G143" s="12"/>
      <c r="H143" s="12"/>
      <c r="I143" s="12"/>
      <c r="J143" s="12"/>
      <c r="K143" s="12"/>
      <c r="L143" s="12"/>
      <c r="M143" s="12"/>
      <c r="N143" s="12"/>
      <c r="O143" s="12"/>
      <c r="P143" s="12"/>
      <c r="Q143" s="12"/>
      <c r="R143" s="12"/>
      <c r="S143" s="12"/>
      <c r="T143" s="12"/>
      <c r="U143" s="12"/>
      <c r="V143" s="12"/>
      <c r="W143" s="12"/>
      <c r="X143" s="12"/>
      <c r="Y143" s="12"/>
      <c r="Z143" s="12"/>
      <c r="AA143" s="12"/>
    </row>
    <row r="144" spans="1:27" ht="15.75" customHeight="1">
      <c r="A144" s="10">
        <v>6</v>
      </c>
      <c r="B144" s="11" t="s">
        <v>191</v>
      </c>
      <c r="C144" s="6"/>
      <c r="D144" s="11" t="str">
        <f ca="1">IFERROR(__xludf.DUMMYFUNCTION("GOOGLETRANSLATE(B144,(""auto""),(""es""))"),"Retire la caja de equipaje - B24")</f>
        <v>Retire la caja de equipaje - B24</v>
      </c>
      <c r="E144" s="11" t="str">
        <f ca="1">IFERROR(__xludf.DUMMYFUNCTION("GOOGLETRANSLATE(B144,(""auto""),(""FR""))"),"Retirez la boîte à bagages - B24")</f>
        <v>Retirez la boîte à bagages - B24</v>
      </c>
      <c r="F144" s="11" t="str">
        <f ca="1">IFERROR(__xludf.DUMMYFUNCTION("GOOGLETRANSLATE(B144,(""auto""),(""IT""))"),"Rimuovere la scatola dei bagagli - B24")</f>
        <v>Rimuovere la scatola dei bagagli - B24</v>
      </c>
      <c r="G144" s="12"/>
      <c r="H144" s="12"/>
      <c r="I144" s="12"/>
      <c r="J144" s="12"/>
      <c r="K144" s="12"/>
      <c r="L144" s="12"/>
      <c r="M144" s="12"/>
      <c r="N144" s="12"/>
      <c r="O144" s="12"/>
      <c r="P144" s="12"/>
      <c r="Q144" s="12"/>
      <c r="R144" s="12"/>
      <c r="S144" s="12"/>
      <c r="T144" s="12"/>
      <c r="U144" s="12"/>
      <c r="V144" s="12"/>
      <c r="W144" s="12"/>
      <c r="X144" s="12"/>
      <c r="Y144" s="12"/>
      <c r="Z144" s="12"/>
      <c r="AA144" s="12"/>
    </row>
    <row r="145" spans="1:27" ht="15.75" customHeight="1">
      <c r="A145" s="69" t="s">
        <v>150</v>
      </c>
      <c r="B145" s="70" t="s">
        <v>151</v>
      </c>
      <c r="C145" s="70" t="s">
        <v>152</v>
      </c>
      <c r="D145" s="70" t="str">
        <f ca="1">IFERROR(__xludf.DUMMYFUNCTION("GOOGLETRANSLATE(B145,(""auto""),(""es""))"),"Descripción")</f>
        <v>Descripción</v>
      </c>
      <c r="E145" s="70" t="str">
        <f ca="1">IFERROR(__xludf.DUMMYFUNCTION("GOOGLETRANSLATE(B145,(""auto""),(""fr""))"),"Description")</f>
        <v>Description</v>
      </c>
      <c r="F145" s="70" t="str">
        <f ca="1">IFERROR(__xludf.DUMMYFUNCTION("GOOGLETRANSLATE(D145,(""auto""),(""IT""))"),"Descrizione")</f>
        <v>Descrizione</v>
      </c>
      <c r="G145" s="12"/>
      <c r="H145" s="12"/>
      <c r="I145" s="12"/>
      <c r="J145" s="12"/>
      <c r="K145" s="12"/>
      <c r="L145" s="12"/>
      <c r="M145" s="12"/>
      <c r="N145" s="12"/>
      <c r="O145" s="12"/>
      <c r="P145" s="12"/>
      <c r="Q145" s="12"/>
      <c r="R145" s="12"/>
      <c r="S145" s="12"/>
      <c r="T145" s="12"/>
      <c r="U145" s="12"/>
      <c r="V145" s="12"/>
      <c r="W145" s="12"/>
      <c r="X145" s="12"/>
      <c r="Y145" s="12"/>
      <c r="Z145" s="12"/>
      <c r="AA145" s="12"/>
    </row>
    <row r="146" spans="1:27" ht="101.25" customHeight="1">
      <c r="A146" s="10">
        <v>1</v>
      </c>
      <c r="B146" s="11" t="s">
        <v>231</v>
      </c>
      <c r="C146" s="6"/>
      <c r="D146" s="11" t="str">
        <f ca="1">IFERROR(__xludf.DUMMYFUNCTION("GOOGLETRANSLATE(B146,(""auto""),(""es""))"),"
Interruptor de encendido desconectado (izquierda y derecha)")</f>
        <v xml:space="preserve">
Interruptor de encendido desconectado (izquierda y derecha)</v>
      </c>
      <c r="E146" s="11" t="str">
        <f ca="1">IFERROR(__xludf.DUMMYFUNCTION("GOOGLETRANSLATE(B146,(""auto""),(""FR""))"),"
Interrupteur d'alimentation débranchez (à gauche et à droite)")</f>
        <v xml:space="preserve">
Interrupteur d'alimentation débranchez (à gauche et à droite)</v>
      </c>
      <c r="F146" s="11" t="str">
        <f ca="1">IFERROR(__xludf.DUMMYFUNCTION("GOOGLETRANSLATE(B146,(""auto""),(""IT""))"),"
Scolleguono l'interruttore di alimentazione (sinistra e destra)")</f>
        <v xml:space="preserve">
Scolleguono l'interruttore di alimentazione (sinistra e destra)</v>
      </c>
      <c r="G146" s="12"/>
      <c r="H146" s="12"/>
      <c r="I146" s="12"/>
      <c r="J146" s="12"/>
      <c r="K146" s="12"/>
      <c r="L146" s="12"/>
      <c r="M146" s="12"/>
      <c r="N146" s="12"/>
      <c r="O146" s="12"/>
      <c r="P146" s="12"/>
      <c r="Q146" s="12"/>
      <c r="R146" s="12"/>
      <c r="S146" s="12"/>
      <c r="T146" s="12"/>
      <c r="U146" s="12"/>
      <c r="V146" s="12"/>
      <c r="W146" s="12"/>
      <c r="X146" s="12"/>
      <c r="Y146" s="12"/>
      <c r="Z146" s="12"/>
      <c r="AA146" s="12"/>
    </row>
    <row r="147" spans="1:27" ht="123.75" customHeight="1">
      <c r="A147" s="10">
        <v>2</v>
      </c>
      <c r="B147" s="11" t="s">
        <v>232</v>
      </c>
      <c r="C147" s="6"/>
      <c r="D147" s="11" t="str">
        <f ca="1">IFERROR(__xludf.DUMMYFUNCTION("GOOGLETRANSLATE(B147,(""auto""),(""es""))"),"
Retire 2 tornillos con un destornillador de Phillips y retire el ajuste del interruptor de soporte lateral.")</f>
        <v xml:space="preserve">
Retire 2 tornillos con un destornillador de Phillips y retire el ajuste del interruptor de soporte lateral.</v>
      </c>
      <c r="E147" s="11" t="str">
        <f ca="1">IFERROR(__xludf.DUMMYFUNCTION("GOOGLETRANSLATE(B147,(""auto""),(""FR""))"),"
Retirez 2 vis avec un tournevis Phillips et retirez l'interrupteur de support latéral.")</f>
        <v xml:space="preserve">
Retirez 2 vis avec un tournevis Phillips et retirez l'interrupteur de support latéral.</v>
      </c>
      <c r="F147" s="11" t="str">
        <f ca="1">IFERROR(__xludf.DUMMYFUNCTION("GOOGLETRANSLATE(B147,(""auto""),(""IT""))"),"
Rimuovere 2 viti con un cacciavite Phillips e rimuovere l'interruttore di supporto laterale.")</f>
        <v xml:space="preserve">
Rimuovere 2 viti con un cacciavite Phillips e rimuovere l'interruttore di supporto laterale.</v>
      </c>
      <c r="G147" s="12"/>
      <c r="H147" s="12"/>
      <c r="I147" s="12"/>
      <c r="J147" s="12"/>
      <c r="K147" s="12"/>
      <c r="L147" s="12"/>
      <c r="M147" s="12"/>
      <c r="N147" s="12"/>
      <c r="O147" s="12"/>
      <c r="P147" s="12"/>
      <c r="Q147" s="12"/>
      <c r="R147" s="12"/>
      <c r="S147" s="12"/>
      <c r="T147" s="12"/>
      <c r="U147" s="12"/>
      <c r="V147" s="12"/>
      <c r="W147" s="12"/>
      <c r="X147" s="12"/>
      <c r="Y147" s="12"/>
      <c r="Z147" s="12"/>
      <c r="AA147" s="12"/>
    </row>
    <row r="148" spans="1:27" ht="15.75" customHeight="1">
      <c r="A148" s="68"/>
      <c r="B148" s="68" t="s">
        <v>233</v>
      </c>
      <c r="C148" s="68"/>
      <c r="D148" s="68" t="str">
        <f ca="1">IFERROR(__xludf.DUMMYFUNCTION("GOOGLETRANSLATE(B148,(""auto""),(""es""))"),"A19 - Socket de carga de vehículos")</f>
        <v>A19 - Socket de carga de vehículos</v>
      </c>
      <c r="E148" s="68" t="str">
        <f ca="1">IFERROR(__xludf.DUMMYFUNCTION("GOOGLETRANSLATE(B148,(""auto""),(""FR""))"),"A19 - Prise de charge de véhicule")</f>
        <v>A19 - Prise de charge de véhicule</v>
      </c>
      <c r="F148" s="68" t="str">
        <f ca="1">IFERROR(__xludf.DUMMYFUNCTION("GOOGLETRANSLATE(B148,(""auto""),(""IT""))"),"A19 - Presa di ricarica del veicolo")</f>
        <v>A19 - Presa di ricarica del veicolo</v>
      </c>
      <c r="G148" s="12"/>
      <c r="H148" s="12"/>
      <c r="I148" s="12"/>
      <c r="J148" s="12"/>
      <c r="K148" s="12"/>
      <c r="L148" s="12"/>
      <c r="M148" s="12"/>
      <c r="N148" s="12"/>
      <c r="O148" s="12"/>
      <c r="P148" s="12"/>
      <c r="Q148" s="12"/>
      <c r="R148" s="12"/>
      <c r="S148" s="12"/>
      <c r="T148" s="12"/>
      <c r="U148" s="12"/>
      <c r="V148" s="12"/>
      <c r="W148" s="12"/>
      <c r="X148" s="12"/>
      <c r="Y148" s="12"/>
      <c r="Z148" s="12"/>
      <c r="AA148" s="12"/>
    </row>
    <row r="149" spans="1:27" ht="15.75" customHeight="1">
      <c r="A149" s="69" t="s">
        <v>145</v>
      </c>
      <c r="B149" s="70" t="s">
        <v>146</v>
      </c>
      <c r="C149" s="70" t="s">
        <v>147</v>
      </c>
      <c r="D149" s="70" t="str">
        <f ca="1">IFERROR(__xludf.DUMMYFUNCTION("GOOGLETRANSLATE(B149,(""auto""),(""es""))"),"Preparación:")</f>
        <v>Preparación:</v>
      </c>
      <c r="E149" s="70" t="str">
        <f ca="1">IFERROR(__xludf.DUMMYFUNCTION("GOOGLETRANSLATE(C149,(""auto""),(""fr""))"),"Remarques")</f>
        <v>Remarques</v>
      </c>
      <c r="F149" s="70" t="str">
        <f ca="1">IFERROR(__xludf.DUMMYFUNCTION("GOOGLETRANSLATE(D149,(""auto""),(""IT""))"),"Preparazione:")</f>
        <v>Preparazione:</v>
      </c>
    </row>
    <row r="150" spans="1:27">
      <c r="A150" s="10">
        <v>1</v>
      </c>
      <c r="B150" s="11" t="s">
        <v>230</v>
      </c>
      <c r="C150" s="6"/>
      <c r="D150" s="11" t="str">
        <f ca="1">IFERROR(__xludf.DUMMYFUNCTION("GOOGLETRANSLATE(B150,(""auto""),(""es""))"),"Retire la cubierta del compartimento de la batería - B23")</f>
        <v>Retire la cubierta del compartimento de la batería - B23</v>
      </c>
      <c r="E150" s="11" t="str">
        <f ca="1">IFERROR(__xludf.DUMMYFUNCTION("GOOGLETRANSLATE(B150,(""auto""),(""FR""))"),"Retirez le couvercle du compartiment de la batterie - B23")</f>
        <v>Retirez le couvercle du compartiment de la batterie - B23</v>
      </c>
      <c r="F150" s="11" t="str">
        <f ca="1">IFERROR(__xludf.DUMMYFUNCTION("GOOGLETRANSLATE(B150,(""auto""),(""IT""))"),"Rimuovere il coperchio del vano batteria - B23")</f>
        <v>Rimuovere il coperchio del vano batteria - B23</v>
      </c>
      <c r="G150" s="12"/>
      <c r="H150" s="12"/>
      <c r="I150" s="12"/>
      <c r="J150" s="12"/>
      <c r="K150" s="12"/>
      <c r="L150" s="12"/>
      <c r="M150" s="12"/>
      <c r="N150" s="12"/>
      <c r="O150" s="12"/>
      <c r="P150" s="12"/>
      <c r="Q150" s="12"/>
      <c r="R150" s="12"/>
      <c r="S150" s="12"/>
      <c r="T150" s="12"/>
      <c r="U150" s="12"/>
      <c r="V150" s="12"/>
      <c r="W150" s="12"/>
      <c r="X150" s="12"/>
      <c r="Y150" s="12"/>
      <c r="Z150" s="12"/>
      <c r="AA150" s="12"/>
    </row>
    <row r="151" spans="1:27" ht="15.75" customHeight="1">
      <c r="A151" s="10">
        <v>2</v>
      </c>
      <c r="B151" s="11" t="s">
        <v>191</v>
      </c>
      <c r="C151" s="6"/>
      <c r="D151" s="11" t="str">
        <f ca="1">IFERROR(__xludf.DUMMYFUNCTION("GOOGLETRANSLATE(B151,(""auto""),(""es""))"),"Retire la caja de equipaje - B24")</f>
        <v>Retire la caja de equipaje - B24</v>
      </c>
      <c r="E151" s="11" t="str">
        <f ca="1">IFERROR(__xludf.DUMMYFUNCTION("GOOGLETRANSLATE(B151,(""auto""),(""FR""))"),"Retirez la boîte à bagages - B24")</f>
        <v>Retirez la boîte à bagages - B24</v>
      </c>
      <c r="F151" s="11" t="str">
        <f ca="1">IFERROR(__xludf.DUMMYFUNCTION("GOOGLETRANSLATE(B151,(""auto""),(""IT""))"),"Rimuovere la scatola dei bagagli - B24")</f>
        <v>Rimuovere la scatola dei bagagli - B24</v>
      </c>
      <c r="G151" s="12"/>
      <c r="H151" s="12"/>
      <c r="I151" s="12"/>
      <c r="J151" s="12"/>
      <c r="K151" s="12"/>
      <c r="L151" s="12"/>
      <c r="M151" s="12"/>
      <c r="N151" s="12"/>
      <c r="O151" s="12"/>
      <c r="P151" s="12"/>
      <c r="Q151" s="12"/>
      <c r="R151" s="12"/>
      <c r="S151" s="12"/>
      <c r="T151" s="12"/>
      <c r="U151" s="12"/>
      <c r="V151" s="12"/>
      <c r="W151" s="12"/>
      <c r="X151" s="12"/>
      <c r="Y151" s="12"/>
      <c r="Z151" s="12"/>
      <c r="AA151" s="12"/>
    </row>
    <row r="152" spans="1:27" ht="15.75" customHeight="1">
      <c r="A152" s="69" t="s">
        <v>150</v>
      </c>
      <c r="B152" s="70" t="s">
        <v>151</v>
      </c>
      <c r="C152" s="70" t="s">
        <v>152</v>
      </c>
      <c r="D152" s="70" t="str">
        <f ca="1">IFERROR(__xludf.DUMMYFUNCTION("GOOGLETRANSLATE(B152,(""auto""),(""es""))"),"Descripción")</f>
        <v>Descripción</v>
      </c>
      <c r="E152" s="70" t="str">
        <f ca="1">IFERROR(__xludf.DUMMYFUNCTION("GOOGLETRANSLATE(B152,(""auto""),(""fr""))"),"Description")</f>
        <v>Description</v>
      </c>
      <c r="F152" s="70" t="str">
        <f ca="1">IFERROR(__xludf.DUMMYFUNCTION("GOOGLETRANSLATE(D152,(""auto""),(""IT""))"),"Descrizione")</f>
        <v>Descrizione</v>
      </c>
      <c r="G152" s="12"/>
      <c r="H152" s="12"/>
      <c r="I152" s="12"/>
      <c r="J152" s="12"/>
      <c r="K152" s="12"/>
      <c r="L152" s="12"/>
      <c r="M152" s="12"/>
      <c r="N152" s="12"/>
      <c r="O152" s="12"/>
      <c r="P152" s="12"/>
      <c r="Q152" s="12"/>
      <c r="R152" s="12"/>
      <c r="S152" s="12"/>
      <c r="T152" s="12"/>
      <c r="U152" s="12"/>
      <c r="V152" s="12"/>
      <c r="W152" s="12"/>
      <c r="X152" s="12"/>
      <c r="Y152" s="12"/>
      <c r="Z152" s="12"/>
      <c r="AA152" s="12"/>
    </row>
    <row r="153" spans="1:27" ht="131.25" customHeight="1">
      <c r="A153" s="10">
        <v>1</v>
      </c>
      <c r="B153" s="11" t="s">
        <v>234</v>
      </c>
      <c r="C153" s="6"/>
      <c r="D153" s="11" t="str">
        <f ca="1">IFERROR(__xludf.DUMMYFUNCTION("GOOGLETRANSLATE(B153,(""auto""),(""es""))"),"
APAGADO DE APAGADO")</f>
        <v xml:space="preserve">
APAGADO DE APAGADO</v>
      </c>
      <c r="E153" s="11" t="str">
        <f ca="1">IFERROR(__xludf.DUMMYFUNCTION("GOOGLETRANSLATE(B153,(""auto""),(""FR""))"),"
Interrupteur d'élevage")</f>
        <v xml:space="preserve">
Interrupteur d'élevage</v>
      </c>
      <c r="F153" s="11" t="str">
        <f ca="1">IFERROR(__xludf.DUMMYFUNCTION("GOOGLETRANSLATE(B153,(""auto""),(""IT""))"),"
Interruttore di spegnimento")</f>
        <v xml:space="preserve">
Interruttore di spegnimento</v>
      </c>
      <c r="G153" s="12"/>
      <c r="H153" s="12"/>
      <c r="I153" s="12"/>
      <c r="J153" s="12"/>
      <c r="K153" s="12"/>
      <c r="L153" s="12"/>
      <c r="M153" s="12"/>
      <c r="N153" s="12"/>
      <c r="O153" s="12"/>
      <c r="P153" s="12"/>
      <c r="Q153" s="12"/>
      <c r="R153" s="12"/>
      <c r="S153" s="12"/>
      <c r="T153" s="12"/>
      <c r="U153" s="12"/>
      <c r="V153" s="12"/>
      <c r="W153" s="12"/>
      <c r="X153" s="12"/>
      <c r="Y153" s="12"/>
      <c r="Z153" s="12"/>
      <c r="AA153" s="12"/>
    </row>
    <row r="154" spans="1:27" ht="131.25" customHeight="1">
      <c r="A154" s="10">
        <v>2</v>
      </c>
      <c r="B154" s="11" t="s">
        <v>235</v>
      </c>
      <c r="C154" s="6"/>
      <c r="D154" s="11" t="str">
        <f ca="1">IFERROR(__xludf.DUMMYFUNCTION("GOOGLETRANSLATE(B154,(""auto""),(""es""))"),"
Protector del circuito de apagado")</f>
        <v xml:space="preserve">
Protector del circuito de apagado</v>
      </c>
      <c r="E154" s="11" t="str">
        <f ca="1">IFERROR(__xludf.DUMMYFUNCTION("GOOGLETRANSLATE(B154,(""auto""),(""FR""))"),"
Protecteur de circuit hors désactivation")</f>
        <v xml:space="preserve">
Protecteur de circuit hors désactivation</v>
      </c>
      <c r="F154" s="11" t="str">
        <f ca="1">IFERROR(__xludf.DUMMYFUNCTION("GOOGLETRANSLATE(B154,(""auto""),(""IT""))"),"
Protettore del circuito di spegnimento")</f>
        <v xml:space="preserve">
Protettore del circuito di spegnimento</v>
      </c>
      <c r="G154" s="12"/>
      <c r="H154" s="12"/>
      <c r="I154" s="12"/>
      <c r="J154" s="12"/>
      <c r="K154" s="12"/>
      <c r="L154" s="12"/>
      <c r="M154" s="12"/>
      <c r="N154" s="12"/>
      <c r="O154" s="12"/>
      <c r="P154" s="12"/>
      <c r="Q154" s="12"/>
      <c r="R154" s="12"/>
      <c r="S154" s="12"/>
      <c r="T154" s="12"/>
      <c r="U154" s="12"/>
      <c r="V154" s="12"/>
      <c r="W154" s="12"/>
      <c r="X154" s="12"/>
      <c r="Y154" s="12"/>
      <c r="Z154" s="12"/>
      <c r="AA154" s="12"/>
    </row>
    <row r="155" spans="1:27" ht="131.25" customHeight="1">
      <c r="A155" s="10">
        <v>3</v>
      </c>
      <c r="B155" s="11" t="s">
        <v>236</v>
      </c>
      <c r="C155" s="6"/>
      <c r="D155" s="11" t="str">
        <f ca="1">IFERROR(__xludf.DUMMYFUNCTION("GOOGLETRANSLATE(B155,(""auto""),(""es""))"),"
Retire 1 tornillo con un destornillador de Phillips y retire la abrazadera")</f>
        <v xml:space="preserve">
Retire 1 tornillo con un destornillador de Phillips y retire la abrazadera</v>
      </c>
      <c r="E155" s="11" t="str">
        <f ca="1">IFERROR(__xludf.DUMMYFUNCTION("GOOGLETRANSLATE(B155,(""auto""),(""FR""))"),"
Retirer 1 vis avec un tournevis Phillips et retirer la pince")</f>
        <v xml:space="preserve">
Retirer 1 vis avec un tournevis Phillips et retirer la pince</v>
      </c>
      <c r="F155" s="11" t="str">
        <f ca="1">IFERROR(__xludf.DUMMYFUNCTION("GOOGLETRANSLATE(B155,(""auto""),(""IT""))"),"
Rimuovere 1 vite con un cacciavite Phillips e rimuovere il morsetto")</f>
        <v xml:space="preserve">
Rimuovere 1 vite con un cacciavite Phillips e rimuovere il morsetto</v>
      </c>
      <c r="G155" s="12"/>
      <c r="H155" s="12"/>
      <c r="I155" s="12"/>
      <c r="J155" s="12"/>
      <c r="K155" s="12"/>
      <c r="L155" s="12"/>
      <c r="M155" s="12"/>
      <c r="N155" s="12"/>
      <c r="O155" s="12"/>
      <c r="P155" s="12"/>
      <c r="Q155" s="12"/>
      <c r="R155" s="12"/>
      <c r="S155" s="12"/>
      <c r="T155" s="12"/>
      <c r="U155" s="12"/>
      <c r="V155" s="12"/>
      <c r="W155" s="12"/>
      <c r="X155" s="12"/>
      <c r="Y155" s="12"/>
      <c r="Z155" s="12"/>
      <c r="AA155" s="12"/>
    </row>
    <row r="156" spans="1:27" ht="123.75" customHeight="1">
      <c r="A156" s="10">
        <v>4</v>
      </c>
      <c r="B156" s="11" t="s">
        <v>237</v>
      </c>
      <c r="C156" s="6"/>
      <c r="D156" s="11" t="str">
        <f ca="1">IFERROR(__xludf.DUMMYFUNCTION("GOOGLETRANSLATE(B156,(""auto""),(""es""))"),"
Desenchufar el cable de alimentación y el conector de comunicación")</f>
        <v xml:space="preserve">
Desenchufar el cable de alimentación y el conector de comunicación</v>
      </c>
      <c r="E156" s="11" t="str">
        <f ca="1">IFERROR(__xludf.DUMMYFUNCTION("GOOGLETRANSLATE(B156,(""auto""),(""FR""))"),"
Débrancher le cordon d'alimentation et le connecteur de communication")</f>
        <v xml:space="preserve">
Débrancher le cordon d'alimentation et le connecteur de communication</v>
      </c>
      <c r="F156" s="11" t="str">
        <f ca="1">IFERROR(__xludf.DUMMYFUNCTION("GOOGLETRANSLATE(B156,(""auto""),(""IT""))"),"
Scollegare il cavo di alimentazione e il connettore di comunicazione")</f>
        <v xml:space="preserve">
Scollegare il cavo di alimentazione e il connettore di comunicazione</v>
      </c>
      <c r="G156" s="12"/>
      <c r="H156" s="12"/>
      <c r="I156" s="12"/>
      <c r="J156" s="12"/>
      <c r="K156" s="12"/>
      <c r="L156" s="12"/>
      <c r="M156" s="12"/>
      <c r="N156" s="12"/>
      <c r="O156" s="12"/>
      <c r="P156" s="12"/>
      <c r="Q156" s="12"/>
      <c r="R156" s="12"/>
      <c r="S156" s="12"/>
      <c r="T156" s="12"/>
      <c r="U156" s="12"/>
      <c r="V156" s="12"/>
      <c r="W156" s="12"/>
      <c r="X156" s="12"/>
      <c r="Y156" s="12"/>
      <c r="Z156" s="12"/>
      <c r="AA156" s="12"/>
    </row>
    <row r="157" spans="1:27" ht="131.25" customHeight="1">
      <c r="A157" s="10">
        <v>5</v>
      </c>
      <c r="B157" s="11" t="s">
        <v>238</v>
      </c>
      <c r="C157" s="6"/>
      <c r="D157" s="11" t="str">
        <f ca="1">IFERROR(__xludf.DUMMYFUNCTION("GOOGLETRANSLATE(B157,(""auto""),(""es""))"),"
Retire el tornillo de fijación del zócalo de carga con un destornillador de Phillips y extraiga el enchufe de carga")</f>
        <v xml:space="preserve">
Retire el tornillo de fijación del zócalo de carga con un destornillador de Phillips y extraiga el enchufe de carga</v>
      </c>
      <c r="E157" s="11" t="str">
        <f ca="1">IFERROR(__xludf.DUMMYFUNCTION("GOOGLETRANSLATE(B157,(""auto""),(""FR""))"),"
Retirez la vis de fixation de socket de charge avec un tournevis Phillips et retirez la prise de chargement")</f>
        <v xml:space="preserve">
Retirez la vis de fixation de socket de charge avec un tournevis Phillips et retirez la prise de chargement</v>
      </c>
      <c r="F157" s="11" t="str">
        <f ca="1">IFERROR(__xludf.DUMMYFUNCTION("GOOGLETRANSLATE(B157,(""auto""),(""IT""))"),"
Rimuovere la vite di fissaggio della presa di ricarica con un cacciavite Phillips ed estrarre la presa di ricarica")</f>
        <v xml:space="preserve">
Rimuovere la vite di fissaggio della presa di ricarica con un cacciavite Phillips ed estrarre la presa di ricarica</v>
      </c>
      <c r="G157" s="12"/>
      <c r="H157" s="12"/>
      <c r="I157" s="12"/>
      <c r="J157" s="12"/>
      <c r="K157" s="12"/>
      <c r="L157" s="12"/>
      <c r="M157" s="12"/>
      <c r="N157" s="12"/>
      <c r="O157" s="12"/>
      <c r="P157" s="12"/>
      <c r="Q157" s="12"/>
      <c r="R157" s="12"/>
      <c r="S157" s="12"/>
      <c r="T157" s="12"/>
      <c r="U157" s="12"/>
      <c r="V157" s="12"/>
      <c r="W157" s="12"/>
      <c r="X157" s="12"/>
      <c r="Y157" s="12"/>
      <c r="Z157" s="12"/>
      <c r="AA157" s="12"/>
    </row>
    <row r="158" spans="1:27" ht="15.75" customHeight="1">
      <c r="A158" s="10"/>
      <c r="B158" s="11"/>
      <c r="C158" s="11"/>
      <c r="D158" s="11"/>
      <c r="E158" s="11"/>
      <c r="F158" s="11"/>
    </row>
    <row r="159" spans="1:27" ht="15.75" customHeight="1">
      <c r="A159" s="10"/>
      <c r="B159" s="11"/>
      <c r="C159" s="11"/>
      <c r="D159" s="11"/>
      <c r="E159" s="11"/>
      <c r="F159" s="11"/>
    </row>
    <row r="160" spans="1:27" ht="15.75" customHeight="1">
      <c r="A160" s="10"/>
      <c r="B160" s="11"/>
      <c r="C160" s="11"/>
      <c r="D160" s="11"/>
      <c r="E160" s="11"/>
      <c r="F160" s="11"/>
    </row>
    <row r="161" spans="1:6" ht="15.75" customHeight="1">
      <c r="A161" s="10"/>
      <c r="B161" s="11"/>
      <c r="C161" s="11"/>
      <c r="D161" s="11"/>
      <c r="E161" s="11"/>
      <c r="F161" s="11"/>
    </row>
    <row r="162" spans="1:6" ht="15.75" customHeight="1">
      <c r="A162" s="10"/>
      <c r="B162" s="11"/>
      <c r="C162" s="11"/>
      <c r="D162" s="11"/>
      <c r="E162" s="11"/>
      <c r="F162" s="11"/>
    </row>
    <row r="163" spans="1:6" ht="15.75" customHeight="1">
      <c r="A163" s="10"/>
      <c r="B163" s="11"/>
      <c r="C163" s="11"/>
      <c r="D163" s="11"/>
      <c r="E163" s="11"/>
      <c r="F163" s="11"/>
    </row>
    <row r="164" spans="1:6" ht="15.75" customHeight="1">
      <c r="A164" s="10"/>
      <c r="B164" s="11"/>
      <c r="C164" s="11"/>
      <c r="D164" s="11"/>
      <c r="E164" s="11"/>
      <c r="F164" s="11"/>
    </row>
    <row r="165" spans="1:6" ht="15.75" customHeight="1">
      <c r="A165" s="10"/>
      <c r="B165" s="11"/>
      <c r="C165" s="11"/>
      <c r="D165" s="11"/>
      <c r="E165" s="11"/>
      <c r="F165" s="11"/>
    </row>
    <row r="166" spans="1:6" ht="15.75" customHeight="1">
      <c r="A166" s="10"/>
      <c r="B166" s="11"/>
      <c r="C166" s="11"/>
      <c r="D166" s="11"/>
      <c r="E166" s="11"/>
      <c r="F166" s="11"/>
    </row>
    <row r="167" spans="1:6" ht="15.75" customHeight="1">
      <c r="A167" s="10"/>
      <c r="B167" s="11"/>
      <c r="C167" s="11"/>
      <c r="D167" s="11"/>
      <c r="E167" s="11"/>
      <c r="F167" s="11"/>
    </row>
    <row r="168" spans="1:6" ht="15.75" customHeight="1">
      <c r="A168" s="10"/>
      <c r="B168" s="11"/>
      <c r="C168" s="11"/>
      <c r="D168" s="11"/>
      <c r="E168" s="11"/>
      <c r="F168" s="11"/>
    </row>
    <row r="169" spans="1:6" ht="15.75" customHeight="1">
      <c r="A169" s="10"/>
      <c r="B169" s="11"/>
      <c r="C169" s="11"/>
      <c r="D169" s="11"/>
      <c r="E169" s="11"/>
      <c r="F169" s="11"/>
    </row>
    <row r="170" spans="1:6" ht="15.75" customHeight="1">
      <c r="A170" s="10"/>
      <c r="B170" s="11"/>
      <c r="C170" s="11"/>
      <c r="D170" s="11"/>
      <c r="E170" s="11"/>
      <c r="F170" s="11"/>
    </row>
    <row r="171" spans="1:6" ht="15.75" customHeight="1">
      <c r="A171" s="10"/>
      <c r="B171" s="11"/>
      <c r="C171" s="11"/>
      <c r="D171" s="11"/>
      <c r="E171" s="11"/>
      <c r="F171" s="11"/>
    </row>
    <row r="172" spans="1:6" ht="15.75" customHeight="1">
      <c r="A172" s="10"/>
      <c r="B172" s="11"/>
      <c r="C172" s="11"/>
      <c r="D172" s="11"/>
      <c r="E172" s="11"/>
      <c r="F172" s="11"/>
    </row>
    <row r="173" spans="1:6" ht="15.75" customHeight="1">
      <c r="A173" s="10"/>
      <c r="B173" s="11"/>
      <c r="C173" s="11"/>
      <c r="D173" s="11"/>
      <c r="E173" s="11"/>
      <c r="F173" s="11"/>
    </row>
    <row r="174" spans="1:6" ht="15.75" customHeight="1">
      <c r="A174" s="10"/>
      <c r="B174" s="11"/>
      <c r="C174" s="11"/>
      <c r="D174" s="11"/>
      <c r="E174" s="11"/>
      <c r="F174" s="11"/>
    </row>
    <row r="175" spans="1:6" ht="15.75" customHeight="1">
      <c r="A175" s="10"/>
      <c r="B175" s="11"/>
      <c r="C175" s="11"/>
      <c r="D175" s="11"/>
      <c r="E175" s="11"/>
      <c r="F175" s="11"/>
    </row>
    <row r="176" spans="1:6" ht="15.75" customHeight="1">
      <c r="A176" s="10"/>
      <c r="B176" s="11"/>
      <c r="C176" s="11"/>
      <c r="D176" s="11"/>
      <c r="E176" s="11"/>
      <c r="F176" s="11"/>
    </row>
    <row r="177" spans="1:6" ht="15.75" customHeight="1">
      <c r="A177" s="10"/>
      <c r="B177" s="11"/>
      <c r="C177" s="11"/>
      <c r="D177" s="11"/>
      <c r="E177" s="11"/>
      <c r="F177" s="11"/>
    </row>
    <row r="178" spans="1:6" ht="15.75" customHeight="1">
      <c r="A178" s="10"/>
      <c r="B178" s="11"/>
      <c r="C178" s="11"/>
      <c r="D178" s="11"/>
      <c r="E178" s="11"/>
      <c r="F178" s="11"/>
    </row>
    <row r="179" spans="1:6" ht="15.75" customHeight="1">
      <c r="A179" s="10"/>
      <c r="B179" s="11"/>
      <c r="C179" s="11"/>
      <c r="D179" s="11"/>
      <c r="E179" s="11"/>
      <c r="F179" s="11"/>
    </row>
    <row r="180" spans="1:6" ht="15.75" customHeight="1">
      <c r="A180" s="10"/>
      <c r="B180" s="11"/>
      <c r="C180" s="11"/>
      <c r="D180" s="11"/>
      <c r="E180" s="11"/>
      <c r="F180" s="11"/>
    </row>
    <row r="181" spans="1:6" ht="15.75" customHeight="1">
      <c r="A181" s="10"/>
      <c r="B181" s="11"/>
      <c r="C181" s="11"/>
      <c r="D181" s="11"/>
      <c r="E181" s="11"/>
      <c r="F181" s="11"/>
    </row>
    <row r="182" spans="1:6" ht="15.75" customHeight="1">
      <c r="A182" s="10"/>
      <c r="B182" s="11"/>
      <c r="C182" s="11"/>
      <c r="D182" s="11"/>
      <c r="E182" s="11"/>
      <c r="F182" s="11"/>
    </row>
    <row r="183" spans="1:6" ht="15.75" customHeight="1">
      <c r="A183" s="10"/>
      <c r="B183" s="11"/>
      <c r="C183" s="11"/>
      <c r="D183" s="11"/>
      <c r="E183" s="11"/>
      <c r="F183" s="11"/>
    </row>
    <row r="184" spans="1:6" ht="15.75" customHeight="1">
      <c r="A184" s="10"/>
      <c r="B184" s="11"/>
      <c r="C184" s="11"/>
      <c r="D184" s="11"/>
      <c r="E184" s="11"/>
      <c r="F184" s="11"/>
    </row>
    <row r="185" spans="1:6" ht="15.75" customHeight="1">
      <c r="A185" s="10"/>
      <c r="B185" s="11"/>
      <c r="C185" s="11"/>
      <c r="D185" s="11"/>
      <c r="E185" s="11"/>
      <c r="F185" s="11"/>
    </row>
    <row r="186" spans="1:6" ht="15.75" customHeight="1">
      <c r="A186" s="10"/>
      <c r="B186" s="11"/>
      <c r="C186" s="11"/>
      <c r="D186" s="11"/>
      <c r="E186" s="11"/>
      <c r="F186" s="11"/>
    </row>
    <row r="187" spans="1:6" ht="15.75" customHeight="1">
      <c r="A187" s="10"/>
      <c r="B187" s="11"/>
      <c r="C187" s="11"/>
      <c r="D187" s="11"/>
      <c r="E187" s="11"/>
      <c r="F187" s="11"/>
    </row>
    <row r="188" spans="1:6" ht="15.75" customHeight="1">
      <c r="A188" s="10"/>
      <c r="B188" s="11"/>
      <c r="C188" s="11"/>
      <c r="D188" s="11"/>
      <c r="E188" s="11"/>
      <c r="F188" s="11"/>
    </row>
    <row r="189" spans="1:6" ht="15.75" customHeight="1">
      <c r="A189" s="10"/>
      <c r="B189" s="11"/>
      <c r="C189" s="11"/>
      <c r="D189" s="11"/>
      <c r="E189" s="11"/>
      <c r="F189" s="11"/>
    </row>
    <row r="190" spans="1:6" ht="15.75" customHeight="1">
      <c r="A190" s="10"/>
      <c r="B190" s="11"/>
      <c r="C190" s="11"/>
      <c r="D190" s="11"/>
      <c r="E190" s="11"/>
      <c r="F190" s="11"/>
    </row>
    <row r="191" spans="1:6" ht="15.75" customHeight="1">
      <c r="A191" s="10"/>
      <c r="B191" s="11"/>
      <c r="C191" s="11"/>
      <c r="D191" s="11"/>
      <c r="E191" s="11"/>
      <c r="F191" s="11"/>
    </row>
    <row r="192" spans="1:6" ht="15.75" customHeight="1">
      <c r="A192" s="10"/>
      <c r="B192" s="11"/>
      <c r="C192" s="11"/>
      <c r="D192" s="11"/>
      <c r="E192" s="11"/>
      <c r="F192" s="11"/>
    </row>
    <row r="193" spans="1:6" ht="15.75" customHeight="1">
      <c r="A193" s="10"/>
      <c r="B193" s="11"/>
      <c r="C193" s="11"/>
      <c r="D193" s="11"/>
      <c r="E193" s="11"/>
      <c r="F193" s="11"/>
    </row>
    <row r="194" spans="1:6" ht="15.75" customHeight="1">
      <c r="A194" s="10"/>
      <c r="B194" s="11"/>
      <c r="C194" s="11"/>
      <c r="D194" s="11"/>
      <c r="E194" s="11"/>
      <c r="F194" s="11"/>
    </row>
    <row r="195" spans="1:6" ht="15.75" customHeight="1">
      <c r="A195" s="10"/>
      <c r="B195" s="11"/>
      <c r="C195" s="11"/>
      <c r="D195" s="11"/>
      <c r="E195" s="11"/>
      <c r="F195" s="11"/>
    </row>
    <row r="196" spans="1:6" ht="15.75" customHeight="1">
      <c r="A196" s="10"/>
      <c r="B196" s="11"/>
      <c r="C196" s="11"/>
      <c r="D196" s="11"/>
      <c r="E196" s="11"/>
      <c r="F196" s="11"/>
    </row>
    <row r="197" spans="1:6" ht="15.75" customHeight="1">
      <c r="A197" s="10"/>
      <c r="B197" s="11"/>
      <c r="C197" s="11"/>
      <c r="D197" s="11"/>
      <c r="E197" s="11"/>
      <c r="F197" s="11"/>
    </row>
    <row r="198" spans="1:6" ht="15.75" customHeight="1">
      <c r="A198" s="10"/>
      <c r="B198" s="11"/>
      <c r="C198" s="11"/>
      <c r="D198" s="11"/>
      <c r="E198" s="11"/>
      <c r="F198" s="11"/>
    </row>
    <row r="199" spans="1:6" ht="15.75" customHeight="1">
      <c r="A199" s="10"/>
      <c r="B199" s="11"/>
      <c r="C199" s="11"/>
      <c r="D199" s="11"/>
      <c r="E199" s="11"/>
      <c r="F199" s="11"/>
    </row>
    <row r="200" spans="1:6" ht="15.75" customHeight="1">
      <c r="A200" s="10"/>
      <c r="B200" s="11"/>
      <c r="C200" s="11"/>
      <c r="D200" s="11"/>
      <c r="E200" s="11"/>
      <c r="F200" s="11"/>
    </row>
    <row r="201" spans="1:6" ht="15.75" customHeight="1">
      <c r="A201" s="10"/>
      <c r="B201" s="11"/>
      <c r="C201" s="11"/>
      <c r="D201" s="11"/>
      <c r="E201" s="11"/>
      <c r="F201" s="11"/>
    </row>
    <row r="202" spans="1:6" ht="15.75" customHeight="1">
      <c r="A202" s="10"/>
      <c r="B202" s="11"/>
      <c r="C202" s="11"/>
      <c r="D202" s="11"/>
      <c r="E202" s="11"/>
      <c r="F202" s="11"/>
    </row>
    <row r="203" spans="1:6" ht="15.75" customHeight="1">
      <c r="A203" s="10"/>
      <c r="B203" s="11"/>
      <c r="C203" s="11"/>
      <c r="D203" s="11"/>
      <c r="E203" s="11"/>
      <c r="F203" s="11"/>
    </row>
    <row r="204" spans="1:6" ht="15.75" customHeight="1">
      <c r="A204" s="10"/>
      <c r="B204" s="11"/>
      <c r="C204" s="11"/>
      <c r="D204" s="11"/>
      <c r="E204" s="11"/>
      <c r="F204" s="11"/>
    </row>
    <row r="205" spans="1:6" ht="15.75" customHeight="1">
      <c r="A205" s="10"/>
      <c r="B205" s="11"/>
      <c r="C205" s="11"/>
      <c r="D205" s="11"/>
      <c r="E205" s="11"/>
      <c r="F205" s="11"/>
    </row>
    <row r="206" spans="1:6" ht="15.75" customHeight="1">
      <c r="A206" s="10"/>
      <c r="B206" s="11"/>
      <c r="C206" s="11"/>
      <c r="D206" s="11"/>
      <c r="E206" s="11"/>
      <c r="F206" s="11"/>
    </row>
    <row r="207" spans="1:6" ht="15.75" customHeight="1">
      <c r="A207" s="10"/>
      <c r="B207" s="11"/>
      <c r="C207" s="11"/>
      <c r="D207" s="11"/>
      <c r="E207" s="11"/>
      <c r="F207" s="11"/>
    </row>
    <row r="208" spans="1:6" ht="15.75" customHeight="1">
      <c r="A208" s="10"/>
      <c r="B208" s="11"/>
      <c r="C208" s="11"/>
      <c r="D208" s="11"/>
      <c r="E208" s="11"/>
      <c r="F208" s="11"/>
    </row>
    <row r="209" spans="1:6" ht="15.75" customHeight="1">
      <c r="A209" s="10"/>
      <c r="B209" s="11"/>
      <c r="C209" s="11"/>
      <c r="D209" s="11"/>
      <c r="E209" s="11"/>
      <c r="F209" s="11"/>
    </row>
    <row r="210" spans="1:6" ht="15.75" customHeight="1">
      <c r="A210" s="10"/>
      <c r="B210" s="11"/>
      <c r="C210" s="11"/>
      <c r="D210" s="11"/>
      <c r="E210" s="11"/>
      <c r="F210" s="11"/>
    </row>
    <row r="211" spans="1:6" ht="15.75" customHeight="1">
      <c r="A211" s="10"/>
      <c r="B211" s="11"/>
      <c r="C211" s="11"/>
      <c r="D211" s="11"/>
      <c r="E211" s="11"/>
      <c r="F211" s="11"/>
    </row>
    <row r="212" spans="1:6" ht="15.75" customHeight="1">
      <c r="A212" s="10"/>
      <c r="B212" s="11"/>
      <c r="C212" s="11"/>
      <c r="D212" s="11"/>
      <c r="E212" s="11"/>
      <c r="F212" s="11"/>
    </row>
    <row r="213" spans="1:6" ht="15.75" customHeight="1">
      <c r="A213" s="10"/>
      <c r="B213" s="11"/>
      <c r="C213" s="11"/>
      <c r="D213" s="11"/>
      <c r="E213" s="11"/>
      <c r="F213" s="11"/>
    </row>
    <row r="214" spans="1:6" ht="15.75" customHeight="1">
      <c r="A214" s="10"/>
      <c r="B214" s="11"/>
      <c r="C214" s="11"/>
      <c r="D214" s="11"/>
      <c r="E214" s="11"/>
      <c r="F214" s="11"/>
    </row>
    <row r="215" spans="1:6" ht="15.75" customHeight="1">
      <c r="A215" s="10"/>
      <c r="B215" s="11"/>
      <c r="C215" s="11"/>
      <c r="D215" s="11"/>
      <c r="E215" s="11"/>
      <c r="F215" s="11"/>
    </row>
    <row r="216" spans="1:6" ht="15.75" customHeight="1">
      <c r="A216" s="10"/>
      <c r="B216" s="11"/>
      <c r="C216" s="11"/>
      <c r="D216" s="11"/>
      <c r="E216" s="11"/>
      <c r="F216" s="11"/>
    </row>
    <row r="217" spans="1:6" ht="15.75" customHeight="1">
      <c r="A217" s="10"/>
      <c r="B217" s="11"/>
      <c r="C217" s="11"/>
      <c r="D217" s="11"/>
      <c r="E217" s="11"/>
      <c r="F217" s="11"/>
    </row>
    <row r="218" spans="1:6" ht="15.75" customHeight="1">
      <c r="A218" s="10"/>
      <c r="B218" s="11"/>
      <c r="C218" s="11"/>
      <c r="D218" s="11"/>
      <c r="E218" s="11"/>
      <c r="F218" s="11"/>
    </row>
    <row r="219" spans="1:6" ht="15.75" customHeight="1">
      <c r="A219" s="10"/>
      <c r="B219" s="11"/>
      <c r="C219" s="11"/>
      <c r="D219" s="11"/>
      <c r="E219" s="11"/>
      <c r="F219" s="11"/>
    </row>
    <row r="220" spans="1:6" ht="15.75" customHeight="1">
      <c r="A220" s="10"/>
      <c r="B220" s="11"/>
      <c r="C220" s="11"/>
      <c r="D220" s="11"/>
      <c r="E220" s="11"/>
      <c r="F220" s="11"/>
    </row>
    <row r="221" spans="1:6" ht="15.75" customHeight="1">
      <c r="A221" s="10"/>
      <c r="B221" s="11"/>
      <c r="C221" s="11"/>
      <c r="D221" s="11"/>
      <c r="E221" s="11"/>
      <c r="F221" s="11"/>
    </row>
    <row r="222" spans="1:6" ht="15.75" customHeight="1">
      <c r="A222" s="10"/>
      <c r="B222" s="11"/>
      <c r="C222" s="11"/>
      <c r="D222" s="11"/>
      <c r="E222" s="11"/>
      <c r="F222" s="11"/>
    </row>
    <row r="223" spans="1:6" ht="15.75" customHeight="1">
      <c r="A223" s="10"/>
      <c r="B223" s="11"/>
      <c r="C223" s="11"/>
      <c r="D223" s="11"/>
      <c r="E223" s="11"/>
      <c r="F223" s="11"/>
    </row>
    <row r="224" spans="1:6" ht="15.75" customHeight="1">
      <c r="A224" s="10"/>
      <c r="B224" s="11"/>
      <c r="C224" s="11"/>
      <c r="D224" s="11"/>
      <c r="E224" s="11"/>
      <c r="F224" s="11"/>
    </row>
    <row r="225" spans="1:6" ht="15.75" customHeight="1">
      <c r="A225" s="10"/>
      <c r="B225" s="11"/>
      <c r="C225" s="11"/>
      <c r="D225" s="11"/>
      <c r="E225" s="11"/>
      <c r="F225" s="11"/>
    </row>
    <row r="226" spans="1:6" ht="15.75" customHeight="1">
      <c r="A226" s="10"/>
      <c r="B226" s="11"/>
      <c r="C226" s="11"/>
      <c r="D226" s="11"/>
      <c r="E226" s="11"/>
      <c r="F226" s="11"/>
    </row>
    <row r="227" spans="1:6" ht="15.75" customHeight="1">
      <c r="A227" s="10"/>
      <c r="B227" s="11"/>
      <c r="C227" s="11"/>
      <c r="D227" s="11"/>
      <c r="E227" s="11"/>
      <c r="F227" s="11"/>
    </row>
    <row r="228" spans="1:6" ht="15.75" customHeight="1">
      <c r="A228" s="10"/>
      <c r="B228" s="11"/>
      <c r="C228" s="11"/>
      <c r="D228" s="11"/>
      <c r="E228" s="11"/>
      <c r="F228" s="11"/>
    </row>
    <row r="229" spans="1:6" ht="15.75" customHeight="1">
      <c r="A229" s="10"/>
      <c r="B229" s="11"/>
      <c r="C229" s="11"/>
      <c r="D229" s="11"/>
      <c r="E229" s="11"/>
      <c r="F229" s="11"/>
    </row>
    <row r="230" spans="1:6" ht="15.75" customHeight="1">
      <c r="A230" s="10"/>
      <c r="B230" s="11"/>
      <c r="C230" s="11"/>
      <c r="D230" s="11"/>
      <c r="E230" s="11"/>
      <c r="F230" s="11"/>
    </row>
    <row r="231" spans="1:6" ht="15.75" customHeight="1">
      <c r="A231" s="10"/>
      <c r="B231" s="11"/>
      <c r="C231" s="11"/>
      <c r="D231" s="11"/>
      <c r="E231" s="11"/>
      <c r="F231" s="11"/>
    </row>
    <row r="232" spans="1:6" ht="15.75" customHeight="1">
      <c r="A232" s="10"/>
      <c r="B232" s="11"/>
      <c r="C232" s="11"/>
      <c r="D232" s="11"/>
      <c r="E232" s="11"/>
      <c r="F232" s="11"/>
    </row>
    <row r="233" spans="1:6" ht="15.75" customHeight="1">
      <c r="A233" s="10"/>
      <c r="B233" s="11"/>
      <c r="C233" s="11"/>
      <c r="D233" s="11"/>
      <c r="E233" s="11"/>
      <c r="F233" s="11"/>
    </row>
    <row r="234" spans="1:6" ht="15.75" customHeight="1">
      <c r="A234" s="10"/>
      <c r="B234" s="11"/>
      <c r="C234" s="11"/>
      <c r="D234" s="11"/>
      <c r="E234" s="11"/>
      <c r="F234" s="11"/>
    </row>
    <row r="235" spans="1:6" ht="15.75" customHeight="1">
      <c r="A235" s="10"/>
      <c r="B235" s="11"/>
      <c r="C235" s="11"/>
      <c r="D235" s="11"/>
      <c r="E235" s="11"/>
      <c r="F235" s="11"/>
    </row>
    <row r="236" spans="1:6" ht="15.75" customHeight="1">
      <c r="A236" s="10"/>
      <c r="B236" s="11"/>
      <c r="C236" s="11"/>
      <c r="D236" s="11"/>
      <c r="E236" s="11"/>
      <c r="F236" s="11"/>
    </row>
    <row r="237" spans="1:6" ht="15.75" customHeight="1">
      <c r="A237" s="10"/>
      <c r="B237" s="11"/>
      <c r="C237" s="11"/>
      <c r="D237" s="11"/>
      <c r="E237" s="11"/>
      <c r="F237" s="11"/>
    </row>
    <row r="238" spans="1:6" ht="15.75" customHeight="1">
      <c r="A238" s="10"/>
      <c r="B238" s="11"/>
      <c r="C238" s="11"/>
      <c r="D238" s="11"/>
      <c r="E238" s="11"/>
      <c r="F238" s="11"/>
    </row>
    <row r="239" spans="1:6" ht="15.75" customHeight="1">
      <c r="A239" s="10"/>
      <c r="B239" s="11"/>
      <c r="C239" s="11"/>
      <c r="D239" s="11"/>
      <c r="E239" s="11"/>
      <c r="F239" s="11"/>
    </row>
    <row r="240" spans="1:6" ht="15.75" customHeight="1">
      <c r="A240" s="10"/>
      <c r="B240" s="11"/>
      <c r="C240" s="11"/>
      <c r="D240" s="11"/>
      <c r="E240" s="11"/>
      <c r="F240" s="11"/>
    </row>
    <row r="241" spans="1:6" ht="15.75" customHeight="1">
      <c r="A241" s="10"/>
      <c r="B241" s="11"/>
      <c r="C241" s="11"/>
      <c r="D241" s="11"/>
      <c r="E241" s="11"/>
      <c r="F241" s="11"/>
    </row>
    <row r="242" spans="1:6" ht="15.75" customHeight="1">
      <c r="A242" s="10"/>
      <c r="B242" s="11"/>
      <c r="C242" s="11"/>
      <c r="D242" s="11"/>
      <c r="E242" s="11"/>
      <c r="F242" s="11"/>
    </row>
    <row r="243" spans="1:6" ht="15.75" customHeight="1">
      <c r="A243" s="10"/>
      <c r="B243" s="11"/>
      <c r="C243" s="11"/>
      <c r="D243" s="11"/>
      <c r="E243" s="11"/>
      <c r="F243" s="11"/>
    </row>
    <row r="244" spans="1:6" ht="15.75" customHeight="1">
      <c r="A244" s="10"/>
      <c r="B244" s="11"/>
      <c r="C244" s="11"/>
      <c r="D244" s="11"/>
      <c r="E244" s="11"/>
      <c r="F244" s="11"/>
    </row>
    <row r="245" spans="1:6" ht="15.75" customHeight="1">
      <c r="A245" s="10"/>
      <c r="B245" s="11"/>
      <c r="C245" s="11"/>
      <c r="D245" s="11"/>
      <c r="E245" s="11"/>
      <c r="F245" s="11"/>
    </row>
    <row r="246" spans="1:6" ht="15.75" customHeight="1">
      <c r="A246" s="10"/>
      <c r="B246" s="11"/>
      <c r="C246" s="11"/>
      <c r="D246" s="11"/>
      <c r="E246" s="11"/>
      <c r="F246" s="11"/>
    </row>
    <row r="247" spans="1:6" ht="15.75" customHeight="1">
      <c r="A247" s="10"/>
      <c r="B247" s="11"/>
      <c r="C247" s="11"/>
      <c r="D247" s="11"/>
      <c r="E247" s="11"/>
      <c r="F247" s="11"/>
    </row>
    <row r="248" spans="1:6" ht="15.75" customHeight="1">
      <c r="A248" s="10"/>
      <c r="B248" s="11"/>
      <c r="C248" s="11"/>
      <c r="D248" s="11"/>
      <c r="E248" s="11"/>
      <c r="F248" s="11"/>
    </row>
    <row r="249" spans="1:6" ht="15.75" customHeight="1">
      <c r="A249" s="10"/>
      <c r="B249" s="11"/>
      <c r="C249" s="11"/>
      <c r="D249" s="11"/>
      <c r="E249" s="11"/>
      <c r="F249" s="11"/>
    </row>
    <row r="250" spans="1:6" ht="15.75" customHeight="1">
      <c r="A250" s="10"/>
      <c r="B250" s="11"/>
      <c r="C250" s="11"/>
      <c r="D250" s="11"/>
      <c r="E250" s="11"/>
      <c r="F250" s="11"/>
    </row>
    <row r="251" spans="1:6" ht="15.75" customHeight="1">
      <c r="A251" s="10"/>
      <c r="B251" s="11"/>
      <c r="C251" s="11"/>
      <c r="D251" s="11"/>
      <c r="E251" s="11"/>
      <c r="F251" s="11"/>
    </row>
    <row r="252" spans="1:6" ht="15.75" customHeight="1">
      <c r="A252" s="10"/>
      <c r="B252" s="11"/>
      <c r="C252" s="11"/>
      <c r="D252" s="11"/>
      <c r="E252" s="11"/>
      <c r="F252" s="11"/>
    </row>
    <row r="253" spans="1:6" ht="15.75" customHeight="1">
      <c r="A253" s="10"/>
      <c r="B253" s="11"/>
      <c r="C253" s="11"/>
      <c r="D253" s="11"/>
      <c r="E253" s="11"/>
      <c r="F253" s="11"/>
    </row>
    <row r="254" spans="1:6" ht="15.75" customHeight="1">
      <c r="A254" s="10"/>
      <c r="B254" s="11"/>
      <c r="C254" s="11"/>
      <c r="D254" s="11"/>
      <c r="E254" s="11"/>
      <c r="F254" s="11"/>
    </row>
    <row r="255" spans="1:6" ht="15.75" customHeight="1">
      <c r="A255" s="10"/>
      <c r="B255" s="11"/>
      <c r="C255" s="11"/>
      <c r="D255" s="11"/>
      <c r="E255" s="11"/>
      <c r="F255" s="11"/>
    </row>
    <row r="256" spans="1:6" ht="15.75" customHeight="1">
      <c r="A256" s="10"/>
      <c r="B256" s="11"/>
      <c r="C256" s="11"/>
      <c r="D256" s="11"/>
      <c r="E256" s="11"/>
      <c r="F256" s="11"/>
    </row>
    <row r="257" spans="1:6" ht="15.75" customHeight="1">
      <c r="A257" s="10"/>
      <c r="B257" s="11"/>
      <c r="C257" s="11"/>
      <c r="D257" s="11"/>
      <c r="E257" s="11"/>
      <c r="F257" s="11"/>
    </row>
    <row r="258" spans="1:6" ht="15.75" customHeight="1">
      <c r="A258" s="10"/>
      <c r="B258" s="11"/>
      <c r="C258" s="11"/>
      <c r="D258" s="11"/>
      <c r="E258" s="11"/>
      <c r="F258" s="11"/>
    </row>
    <row r="259" spans="1:6" ht="15.75" customHeight="1">
      <c r="A259" s="10"/>
      <c r="B259" s="11"/>
      <c r="C259" s="11"/>
      <c r="D259" s="11"/>
      <c r="E259" s="11"/>
      <c r="F259" s="11"/>
    </row>
    <row r="260" spans="1:6" ht="15.75" customHeight="1">
      <c r="A260" s="10"/>
      <c r="B260" s="11"/>
      <c r="C260" s="11"/>
      <c r="D260" s="11"/>
      <c r="E260" s="11"/>
      <c r="F260" s="11"/>
    </row>
    <row r="261" spans="1:6" ht="15.75" customHeight="1">
      <c r="A261" s="10"/>
      <c r="B261" s="11"/>
      <c r="C261" s="11"/>
      <c r="D261" s="11"/>
      <c r="E261" s="11"/>
      <c r="F261" s="11"/>
    </row>
    <row r="262" spans="1:6" ht="15.75" customHeight="1">
      <c r="A262" s="10"/>
      <c r="B262" s="11"/>
      <c r="C262" s="11"/>
      <c r="D262" s="11"/>
      <c r="E262" s="11"/>
      <c r="F262" s="11"/>
    </row>
    <row r="263" spans="1:6" ht="15.75" customHeight="1">
      <c r="A263" s="10"/>
      <c r="B263" s="11"/>
      <c r="C263" s="11"/>
      <c r="D263" s="11"/>
      <c r="E263" s="11"/>
      <c r="F263" s="11"/>
    </row>
    <row r="264" spans="1:6" ht="15.75" customHeight="1">
      <c r="A264" s="10"/>
      <c r="B264" s="11"/>
      <c r="C264" s="11"/>
      <c r="D264" s="11"/>
      <c r="E264" s="11"/>
      <c r="F264" s="11"/>
    </row>
    <row r="265" spans="1:6" ht="15.75" customHeight="1">
      <c r="A265" s="10"/>
      <c r="B265" s="11"/>
      <c r="C265" s="11"/>
      <c r="D265" s="11"/>
      <c r="E265" s="11"/>
      <c r="F265" s="11"/>
    </row>
    <row r="266" spans="1:6" ht="15.75" customHeight="1">
      <c r="A266" s="10"/>
      <c r="B266" s="11"/>
      <c r="C266" s="11"/>
      <c r="D266" s="11"/>
      <c r="E266" s="11"/>
      <c r="F266" s="11"/>
    </row>
    <row r="267" spans="1:6" ht="15.75" customHeight="1">
      <c r="A267" s="10"/>
      <c r="B267" s="11"/>
      <c r="C267" s="11"/>
      <c r="D267" s="11"/>
      <c r="E267" s="11"/>
      <c r="F267" s="11"/>
    </row>
    <row r="268" spans="1:6" ht="15.75" customHeight="1">
      <c r="A268" s="10"/>
      <c r="B268" s="11"/>
      <c r="C268" s="11"/>
      <c r="D268" s="11"/>
      <c r="E268" s="11"/>
      <c r="F268" s="11"/>
    </row>
    <row r="269" spans="1:6" ht="15.75" customHeight="1">
      <c r="A269" s="10"/>
      <c r="B269" s="11"/>
      <c r="C269" s="11"/>
      <c r="D269" s="11"/>
      <c r="E269" s="11"/>
      <c r="F269" s="11"/>
    </row>
    <row r="270" spans="1:6" ht="15.75" customHeight="1">
      <c r="A270" s="10"/>
      <c r="B270" s="11"/>
      <c r="C270" s="11"/>
      <c r="D270" s="11"/>
      <c r="E270" s="11"/>
      <c r="F270" s="11"/>
    </row>
    <row r="271" spans="1:6" ht="15.75" customHeight="1">
      <c r="A271" s="10"/>
      <c r="B271" s="11"/>
      <c r="C271" s="11"/>
      <c r="D271" s="11"/>
      <c r="E271" s="11"/>
      <c r="F271" s="11"/>
    </row>
    <row r="272" spans="1:6" ht="15.75" customHeight="1">
      <c r="A272" s="10"/>
      <c r="B272" s="11"/>
      <c r="C272" s="11"/>
      <c r="D272" s="11"/>
      <c r="E272" s="11"/>
      <c r="F272" s="11"/>
    </row>
    <row r="273" spans="1:6" ht="15.75" customHeight="1">
      <c r="A273" s="10"/>
      <c r="B273" s="11"/>
      <c r="C273" s="11"/>
      <c r="D273" s="11"/>
      <c r="E273" s="11"/>
      <c r="F273" s="11"/>
    </row>
    <row r="274" spans="1:6" ht="15.75" customHeight="1">
      <c r="A274" s="10"/>
      <c r="B274" s="11"/>
      <c r="C274" s="11"/>
      <c r="D274" s="11"/>
      <c r="E274" s="11"/>
      <c r="F274" s="11"/>
    </row>
    <row r="275" spans="1:6" ht="15.75" customHeight="1">
      <c r="A275" s="10"/>
      <c r="B275" s="11"/>
      <c r="C275" s="11"/>
      <c r="D275" s="11"/>
      <c r="E275" s="11"/>
      <c r="F275" s="11"/>
    </row>
    <row r="276" spans="1:6" ht="15.75" customHeight="1">
      <c r="A276" s="10"/>
      <c r="B276" s="11"/>
      <c r="C276" s="11"/>
      <c r="D276" s="11"/>
      <c r="E276" s="11"/>
      <c r="F276" s="11"/>
    </row>
    <row r="277" spans="1:6" ht="15.75" customHeight="1">
      <c r="A277" s="10"/>
      <c r="B277" s="11"/>
      <c r="C277" s="11"/>
      <c r="D277" s="11"/>
      <c r="E277" s="11"/>
      <c r="F277" s="11"/>
    </row>
    <row r="278" spans="1:6" ht="15.75" customHeight="1">
      <c r="A278" s="10"/>
      <c r="B278" s="11"/>
      <c r="C278" s="11"/>
      <c r="D278" s="11"/>
      <c r="E278" s="11"/>
      <c r="F278" s="11"/>
    </row>
    <row r="279" spans="1:6" ht="15.75" customHeight="1">
      <c r="A279" s="10"/>
      <c r="B279" s="11"/>
      <c r="C279" s="11"/>
      <c r="D279" s="11"/>
      <c r="E279" s="11"/>
      <c r="F279" s="11"/>
    </row>
    <row r="280" spans="1:6" ht="15.75" customHeight="1">
      <c r="A280" s="10"/>
      <c r="B280" s="11"/>
      <c r="C280" s="11"/>
      <c r="D280" s="11"/>
      <c r="E280" s="11"/>
      <c r="F280" s="11"/>
    </row>
    <row r="281" spans="1:6" ht="15.75" customHeight="1">
      <c r="A281" s="10"/>
      <c r="B281" s="11"/>
      <c r="C281" s="11"/>
      <c r="D281" s="11"/>
      <c r="E281" s="11"/>
      <c r="F281" s="11"/>
    </row>
    <row r="282" spans="1:6" ht="15.75" customHeight="1">
      <c r="A282" s="10"/>
      <c r="B282" s="11"/>
      <c r="C282" s="11"/>
      <c r="D282" s="11"/>
      <c r="E282" s="11"/>
      <c r="F282" s="11"/>
    </row>
    <row r="283" spans="1:6" ht="15.75" customHeight="1">
      <c r="A283" s="10"/>
      <c r="B283" s="11"/>
      <c r="C283" s="11"/>
      <c r="D283" s="11"/>
      <c r="E283" s="11"/>
      <c r="F283" s="11"/>
    </row>
    <row r="284" spans="1:6" ht="15.75" customHeight="1">
      <c r="A284" s="10"/>
      <c r="B284" s="11"/>
      <c r="C284" s="11"/>
      <c r="D284" s="11"/>
      <c r="E284" s="11"/>
      <c r="F284" s="11"/>
    </row>
    <row r="285" spans="1:6" ht="15.75" customHeight="1">
      <c r="A285" s="10"/>
      <c r="B285" s="11"/>
      <c r="C285" s="11"/>
      <c r="D285" s="11"/>
      <c r="E285" s="11"/>
      <c r="F285" s="11"/>
    </row>
    <row r="286" spans="1:6" ht="15.75" customHeight="1">
      <c r="A286" s="10"/>
      <c r="B286" s="11"/>
      <c r="C286" s="11"/>
      <c r="D286" s="11"/>
      <c r="E286" s="11"/>
      <c r="F286" s="11"/>
    </row>
    <row r="287" spans="1:6" ht="15.75" customHeight="1">
      <c r="A287" s="10"/>
      <c r="B287" s="11"/>
      <c r="C287" s="11"/>
      <c r="D287" s="11"/>
      <c r="E287" s="11"/>
      <c r="F287" s="11"/>
    </row>
    <row r="288" spans="1:6" ht="15.75" customHeight="1">
      <c r="A288" s="10"/>
      <c r="B288" s="11"/>
      <c r="C288" s="11"/>
      <c r="D288" s="11"/>
      <c r="E288" s="11"/>
      <c r="F288" s="11"/>
    </row>
    <row r="289" spans="1:6" ht="15.75" customHeight="1">
      <c r="A289" s="10"/>
      <c r="B289" s="11"/>
      <c r="C289" s="11"/>
      <c r="D289" s="11"/>
      <c r="E289" s="11"/>
      <c r="F289" s="11"/>
    </row>
    <row r="290" spans="1:6" ht="15.75" customHeight="1">
      <c r="A290" s="10"/>
      <c r="B290" s="11"/>
      <c r="C290" s="11"/>
      <c r="D290" s="11"/>
      <c r="E290" s="11"/>
      <c r="F290" s="11"/>
    </row>
    <row r="291" spans="1:6" ht="15.75" customHeight="1">
      <c r="A291" s="10"/>
      <c r="B291" s="11"/>
      <c r="C291" s="11"/>
      <c r="D291" s="11"/>
      <c r="E291" s="11"/>
      <c r="F291" s="11"/>
    </row>
    <row r="292" spans="1:6" ht="15.75" customHeight="1">
      <c r="A292" s="10"/>
      <c r="B292" s="11"/>
      <c r="C292" s="11"/>
      <c r="D292" s="11"/>
      <c r="E292" s="11"/>
      <c r="F292" s="11"/>
    </row>
    <row r="293" spans="1:6" ht="15.75" customHeight="1">
      <c r="A293" s="10"/>
      <c r="B293" s="11"/>
      <c r="C293" s="11"/>
      <c r="D293" s="11"/>
      <c r="E293" s="11"/>
      <c r="F293" s="11"/>
    </row>
    <row r="294" spans="1:6" ht="15.75" customHeight="1">
      <c r="A294" s="10"/>
      <c r="B294" s="11"/>
      <c r="C294" s="11"/>
      <c r="D294" s="11"/>
      <c r="E294" s="11"/>
      <c r="F294" s="11"/>
    </row>
    <row r="295" spans="1:6" ht="15.75" customHeight="1">
      <c r="A295" s="10"/>
      <c r="B295" s="11"/>
      <c r="C295" s="11"/>
      <c r="D295" s="11"/>
      <c r="E295" s="11"/>
      <c r="F295" s="11"/>
    </row>
    <row r="296" spans="1:6" ht="15.75" customHeight="1">
      <c r="A296" s="10"/>
      <c r="B296" s="11"/>
      <c r="C296" s="11"/>
      <c r="D296" s="11"/>
      <c r="E296" s="11"/>
      <c r="F296" s="11"/>
    </row>
    <row r="297" spans="1:6" ht="15.75" customHeight="1">
      <c r="A297" s="10"/>
      <c r="B297" s="11"/>
      <c r="C297" s="11"/>
      <c r="D297" s="11"/>
      <c r="E297" s="11"/>
      <c r="F297" s="11"/>
    </row>
    <row r="298" spans="1:6" ht="15.75" customHeight="1">
      <c r="A298" s="10"/>
      <c r="B298" s="11"/>
      <c r="C298" s="11"/>
      <c r="D298" s="11"/>
      <c r="E298" s="11"/>
      <c r="F298" s="11"/>
    </row>
    <row r="299" spans="1:6" ht="15.75" customHeight="1">
      <c r="A299" s="10"/>
      <c r="B299" s="11"/>
      <c r="C299" s="11"/>
      <c r="D299" s="11"/>
      <c r="E299" s="11"/>
      <c r="F299" s="11"/>
    </row>
    <row r="300" spans="1:6" ht="15.75" customHeight="1">
      <c r="A300" s="10"/>
      <c r="B300" s="11"/>
      <c r="C300" s="11"/>
      <c r="D300" s="11"/>
      <c r="E300" s="11"/>
      <c r="F300" s="11"/>
    </row>
    <row r="301" spans="1:6" ht="15.75" customHeight="1">
      <c r="A301" s="10"/>
      <c r="B301" s="11"/>
      <c r="C301" s="11"/>
      <c r="D301" s="11"/>
      <c r="E301" s="11"/>
      <c r="F301" s="11"/>
    </row>
    <row r="302" spans="1:6" ht="15.75" customHeight="1">
      <c r="A302" s="10"/>
      <c r="B302" s="11"/>
      <c r="C302" s="11"/>
      <c r="D302" s="11"/>
      <c r="E302" s="11"/>
      <c r="F302" s="11"/>
    </row>
    <row r="303" spans="1:6" ht="15.75" customHeight="1">
      <c r="A303" s="10"/>
      <c r="B303" s="11"/>
      <c r="C303" s="11"/>
      <c r="D303" s="11"/>
      <c r="E303" s="11"/>
      <c r="F303" s="11"/>
    </row>
    <row r="304" spans="1:6" ht="15.75" customHeight="1">
      <c r="A304" s="10"/>
      <c r="B304" s="11"/>
      <c r="C304" s="11"/>
      <c r="D304" s="11"/>
      <c r="E304" s="11"/>
      <c r="F304" s="11"/>
    </row>
    <row r="305" spans="1:6" ht="15.75" customHeight="1">
      <c r="A305" s="10"/>
      <c r="B305" s="11"/>
      <c r="C305" s="11"/>
      <c r="D305" s="11"/>
      <c r="E305" s="11"/>
      <c r="F305" s="11"/>
    </row>
    <row r="306" spans="1:6" ht="15.75" customHeight="1">
      <c r="A306" s="10"/>
      <c r="B306" s="11"/>
      <c r="C306" s="11"/>
      <c r="D306" s="11"/>
      <c r="E306" s="11"/>
      <c r="F306" s="11"/>
    </row>
    <row r="307" spans="1:6" ht="15.75" customHeight="1">
      <c r="A307" s="10"/>
      <c r="B307" s="11"/>
      <c r="C307" s="11"/>
      <c r="D307" s="11"/>
      <c r="E307" s="11"/>
      <c r="F307" s="11"/>
    </row>
    <row r="308" spans="1:6" ht="15.75" customHeight="1">
      <c r="A308" s="10"/>
      <c r="B308" s="11"/>
      <c r="C308" s="11"/>
      <c r="D308" s="11"/>
      <c r="E308" s="11"/>
      <c r="F308" s="11"/>
    </row>
    <row r="309" spans="1:6" ht="15.75" customHeight="1">
      <c r="A309" s="10"/>
      <c r="B309" s="11"/>
      <c r="C309" s="11"/>
      <c r="D309" s="11"/>
      <c r="E309" s="11"/>
      <c r="F309" s="11"/>
    </row>
    <row r="310" spans="1:6" ht="15.75" customHeight="1">
      <c r="A310" s="10"/>
      <c r="B310" s="11"/>
      <c r="C310" s="11"/>
      <c r="D310" s="11"/>
      <c r="E310" s="11"/>
      <c r="F310" s="11"/>
    </row>
    <row r="311" spans="1:6" ht="15.75" customHeight="1">
      <c r="A311" s="10"/>
      <c r="B311" s="11"/>
      <c r="C311" s="11"/>
      <c r="D311" s="11"/>
      <c r="E311" s="11"/>
      <c r="F311" s="11"/>
    </row>
    <row r="312" spans="1:6" ht="15.75" customHeight="1">
      <c r="A312" s="10"/>
      <c r="B312" s="11"/>
      <c r="C312" s="11"/>
      <c r="D312" s="11"/>
      <c r="E312" s="11"/>
      <c r="F312" s="11"/>
    </row>
    <row r="313" spans="1:6" ht="15.75" customHeight="1">
      <c r="A313" s="10"/>
      <c r="B313" s="11"/>
      <c r="C313" s="11"/>
      <c r="D313" s="11"/>
      <c r="E313" s="11"/>
      <c r="F313" s="11"/>
    </row>
    <row r="314" spans="1:6" ht="15.75" customHeight="1">
      <c r="A314" s="10"/>
      <c r="B314" s="11"/>
      <c r="C314" s="11"/>
      <c r="D314" s="11"/>
      <c r="E314" s="11"/>
      <c r="F314" s="11"/>
    </row>
    <row r="315" spans="1:6" ht="15.75" customHeight="1">
      <c r="A315" s="10"/>
      <c r="B315" s="11"/>
      <c r="C315" s="11"/>
      <c r="D315" s="11"/>
      <c r="E315" s="11"/>
      <c r="F315" s="11"/>
    </row>
    <row r="316" spans="1:6" ht="15.75" customHeight="1">
      <c r="A316" s="10"/>
      <c r="B316" s="11"/>
      <c r="C316" s="11"/>
      <c r="D316" s="11"/>
      <c r="E316" s="11"/>
      <c r="F316" s="11"/>
    </row>
    <row r="317" spans="1:6" ht="15.75" customHeight="1">
      <c r="A317" s="10"/>
      <c r="B317" s="11"/>
      <c r="C317" s="11"/>
      <c r="D317" s="11"/>
      <c r="E317" s="11"/>
      <c r="F317" s="11"/>
    </row>
    <row r="318" spans="1:6" ht="15.75" customHeight="1">
      <c r="A318" s="10"/>
      <c r="B318" s="11"/>
      <c r="C318" s="11"/>
      <c r="D318" s="11"/>
      <c r="E318" s="11"/>
      <c r="F318" s="11"/>
    </row>
    <row r="319" spans="1:6" ht="15.75" customHeight="1">
      <c r="A319" s="10"/>
      <c r="B319" s="11"/>
      <c r="C319" s="11"/>
      <c r="D319" s="11"/>
      <c r="E319" s="11"/>
      <c r="F319" s="11"/>
    </row>
    <row r="320" spans="1:6" ht="15.75" customHeight="1">
      <c r="A320" s="10"/>
      <c r="B320" s="11"/>
      <c r="C320" s="11"/>
      <c r="D320" s="11"/>
      <c r="E320" s="11"/>
      <c r="F320" s="11"/>
    </row>
    <row r="321" spans="1:6" ht="15.75" customHeight="1">
      <c r="A321" s="10"/>
      <c r="B321" s="11"/>
      <c r="C321" s="11"/>
      <c r="D321" s="11"/>
      <c r="E321" s="11"/>
      <c r="F321" s="11"/>
    </row>
    <row r="322" spans="1:6" ht="15.75" customHeight="1">
      <c r="A322" s="10"/>
      <c r="B322" s="11"/>
      <c r="C322" s="11"/>
      <c r="D322" s="11"/>
      <c r="E322" s="11"/>
      <c r="F322" s="11"/>
    </row>
    <row r="323" spans="1:6" ht="15.75" customHeight="1">
      <c r="A323" s="10"/>
      <c r="B323" s="11"/>
      <c r="C323" s="11"/>
      <c r="D323" s="11"/>
      <c r="E323" s="11"/>
      <c r="F323" s="11"/>
    </row>
    <row r="324" spans="1:6" ht="15.75" customHeight="1">
      <c r="A324" s="10"/>
      <c r="B324" s="11"/>
      <c r="C324" s="11"/>
      <c r="D324" s="11"/>
      <c r="E324" s="11"/>
      <c r="F324" s="11"/>
    </row>
    <row r="325" spans="1:6" ht="15.75" customHeight="1">
      <c r="A325" s="10"/>
      <c r="B325" s="11"/>
      <c r="C325" s="11"/>
      <c r="D325" s="11"/>
      <c r="E325" s="11"/>
      <c r="F325" s="11"/>
    </row>
    <row r="326" spans="1:6" ht="15.75" customHeight="1">
      <c r="A326" s="10"/>
      <c r="B326" s="11"/>
      <c r="C326" s="11"/>
      <c r="D326" s="11"/>
      <c r="E326" s="11"/>
      <c r="F326" s="11"/>
    </row>
    <row r="327" spans="1:6" ht="15.75" customHeight="1">
      <c r="A327" s="10"/>
      <c r="B327" s="11"/>
      <c r="C327" s="11"/>
      <c r="D327" s="11"/>
      <c r="E327" s="11"/>
      <c r="F327" s="11"/>
    </row>
    <row r="328" spans="1:6" ht="15.75" customHeight="1">
      <c r="A328" s="10"/>
      <c r="B328" s="11"/>
      <c r="C328" s="11"/>
      <c r="D328" s="11"/>
      <c r="E328" s="11"/>
      <c r="F328" s="11"/>
    </row>
    <row r="329" spans="1:6" ht="15.75" customHeight="1">
      <c r="A329" s="10"/>
      <c r="B329" s="11"/>
      <c r="C329" s="11"/>
      <c r="D329" s="11"/>
      <c r="E329" s="11"/>
      <c r="F329" s="11"/>
    </row>
    <row r="330" spans="1:6" ht="15.75" customHeight="1">
      <c r="A330" s="10"/>
      <c r="B330" s="11"/>
      <c r="C330" s="11"/>
      <c r="D330" s="11"/>
      <c r="E330" s="11"/>
      <c r="F330" s="11"/>
    </row>
    <row r="331" spans="1:6" ht="15.75" customHeight="1">
      <c r="A331" s="10"/>
      <c r="B331" s="11"/>
      <c r="C331" s="11"/>
      <c r="D331" s="11"/>
      <c r="E331" s="11"/>
      <c r="F331" s="11"/>
    </row>
    <row r="332" spans="1:6" ht="15.75" customHeight="1">
      <c r="A332" s="10"/>
      <c r="B332" s="11"/>
      <c r="C332" s="11"/>
      <c r="D332" s="11"/>
      <c r="E332" s="11"/>
      <c r="F332" s="11"/>
    </row>
    <row r="333" spans="1:6" ht="15.75" customHeight="1">
      <c r="A333" s="10"/>
      <c r="B333" s="11"/>
      <c r="C333" s="11"/>
      <c r="D333" s="11"/>
      <c r="E333" s="11"/>
      <c r="F333" s="11"/>
    </row>
    <row r="334" spans="1:6" ht="15.75" customHeight="1">
      <c r="A334" s="10"/>
      <c r="B334" s="11"/>
      <c r="C334" s="11"/>
      <c r="D334" s="11"/>
      <c r="E334" s="11"/>
      <c r="F334" s="11"/>
    </row>
    <row r="335" spans="1:6" ht="15.75" customHeight="1">
      <c r="A335" s="10"/>
      <c r="B335" s="11"/>
      <c r="C335" s="11"/>
      <c r="D335" s="11"/>
      <c r="E335" s="11"/>
      <c r="F335" s="11"/>
    </row>
    <row r="336" spans="1:6" ht="15.75" customHeight="1">
      <c r="A336" s="10"/>
      <c r="B336" s="11"/>
      <c r="C336" s="11"/>
      <c r="D336" s="11"/>
      <c r="E336" s="11"/>
      <c r="F336" s="11"/>
    </row>
    <row r="337" spans="1:6" ht="15.75" customHeight="1">
      <c r="A337" s="10"/>
      <c r="B337" s="11"/>
      <c r="C337" s="11"/>
      <c r="D337" s="11"/>
      <c r="E337" s="11"/>
      <c r="F337" s="11"/>
    </row>
    <row r="338" spans="1:6" ht="15.75" customHeight="1">
      <c r="A338" s="10"/>
      <c r="B338" s="11"/>
      <c r="C338" s="11"/>
      <c r="D338" s="11"/>
      <c r="E338" s="11"/>
      <c r="F338" s="11"/>
    </row>
    <row r="339" spans="1:6" ht="15.75" customHeight="1">
      <c r="A339" s="10"/>
      <c r="B339" s="11"/>
      <c r="C339" s="11"/>
      <c r="D339" s="11"/>
      <c r="E339" s="11"/>
      <c r="F339" s="11"/>
    </row>
    <row r="340" spans="1:6" ht="15.75" customHeight="1">
      <c r="A340" s="10"/>
      <c r="B340" s="11"/>
      <c r="C340" s="11"/>
      <c r="D340" s="11"/>
      <c r="E340" s="11"/>
      <c r="F340" s="11"/>
    </row>
    <row r="341" spans="1:6" ht="15.75" customHeight="1">
      <c r="A341" s="10"/>
      <c r="B341" s="11"/>
      <c r="C341" s="11"/>
      <c r="D341" s="11"/>
      <c r="E341" s="11"/>
      <c r="F341" s="11"/>
    </row>
    <row r="342" spans="1:6" ht="15.75" customHeight="1">
      <c r="A342" s="10"/>
      <c r="B342" s="11"/>
      <c r="C342" s="11"/>
      <c r="D342" s="11"/>
      <c r="E342" s="11"/>
      <c r="F342" s="11"/>
    </row>
    <row r="343" spans="1:6" ht="15.75" customHeight="1">
      <c r="A343" s="10"/>
      <c r="B343" s="11"/>
      <c r="C343" s="11"/>
      <c r="D343" s="11"/>
      <c r="E343" s="11"/>
      <c r="F343" s="11"/>
    </row>
    <row r="344" spans="1:6" ht="15.75" customHeight="1">
      <c r="A344" s="10"/>
      <c r="B344" s="11"/>
      <c r="C344" s="11"/>
      <c r="D344" s="11"/>
      <c r="E344" s="11"/>
      <c r="F344" s="11"/>
    </row>
    <row r="345" spans="1:6" ht="15.75" customHeight="1">
      <c r="A345" s="10"/>
      <c r="B345" s="11"/>
      <c r="C345" s="11"/>
      <c r="D345" s="11"/>
      <c r="E345" s="11"/>
      <c r="F345" s="11"/>
    </row>
    <row r="346" spans="1:6" ht="15.75" customHeight="1">
      <c r="A346" s="10"/>
      <c r="B346" s="11"/>
      <c r="C346" s="11"/>
      <c r="D346" s="11"/>
      <c r="E346" s="11"/>
      <c r="F346" s="11"/>
    </row>
    <row r="347" spans="1:6" ht="15.75" customHeight="1">
      <c r="A347" s="10"/>
      <c r="B347" s="11"/>
      <c r="C347" s="11"/>
      <c r="D347" s="11"/>
      <c r="E347" s="11"/>
      <c r="F347" s="11"/>
    </row>
    <row r="348" spans="1:6" ht="15.75" customHeight="1">
      <c r="A348" s="10"/>
      <c r="B348" s="11"/>
      <c r="C348" s="11"/>
      <c r="D348" s="11"/>
      <c r="E348" s="11"/>
      <c r="F348" s="11"/>
    </row>
    <row r="349" spans="1:6" ht="15.75" customHeight="1">
      <c r="A349" s="10"/>
      <c r="B349" s="11"/>
      <c r="C349" s="11"/>
      <c r="D349" s="11"/>
      <c r="E349" s="11"/>
      <c r="F349" s="11"/>
    </row>
    <row r="350" spans="1:6" ht="15.75" customHeight="1">
      <c r="A350" s="10"/>
      <c r="B350" s="11"/>
      <c r="C350" s="11"/>
      <c r="D350" s="11"/>
      <c r="E350" s="11"/>
      <c r="F350" s="11"/>
    </row>
    <row r="351" spans="1:6" ht="15.75" customHeight="1">
      <c r="A351" s="10"/>
      <c r="B351" s="11"/>
      <c r="C351" s="11"/>
      <c r="D351" s="11"/>
      <c r="E351" s="11"/>
      <c r="F351" s="11"/>
    </row>
    <row r="352" spans="1:6" ht="15.75" customHeight="1">
      <c r="A352" s="10"/>
      <c r="B352" s="11"/>
      <c r="C352" s="11"/>
      <c r="D352" s="11"/>
      <c r="E352" s="11"/>
      <c r="F352" s="11"/>
    </row>
    <row r="353" spans="1:6" ht="15.75" customHeight="1">
      <c r="A353" s="10"/>
      <c r="B353" s="11"/>
      <c r="C353" s="11"/>
      <c r="D353" s="11"/>
      <c r="E353" s="11"/>
      <c r="F353" s="11"/>
    </row>
    <row r="354" spans="1:6" ht="15.75" customHeight="1">
      <c r="A354" s="10"/>
      <c r="B354" s="11"/>
      <c r="C354" s="11"/>
      <c r="D354" s="11"/>
      <c r="E354" s="11"/>
      <c r="F354" s="11"/>
    </row>
    <row r="355" spans="1:6" ht="15.75" customHeight="1">
      <c r="A355" s="10"/>
      <c r="B355" s="11"/>
      <c r="C355" s="11"/>
      <c r="D355" s="11"/>
      <c r="E355" s="11"/>
      <c r="F355" s="11"/>
    </row>
    <row r="356" spans="1:6" ht="15.75" customHeight="1">
      <c r="A356" s="10"/>
      <c r="B356" s="11"/>
      <c r="C356" s="11"/>
      <c r="D356" s="11"/>
      <c r="E356" s="11"/>
      <c r="F356" s="11"/>
    </row>
    <row r="357" spans="1:6" ht="15.75" customHeight="1">
      <c r="A357" s="10"/>
      <c r="B357" s="11"/>
      <c r="C357" s="11"/>
      <c r="D357" s="11"/>
      <c r="E357" s="11"/>
      <c r="F357" s="11"/>
    </row>
    <row r="358" spans="1:6" ht="15.75" customHeight="1">
      <c r="A358" s="10"/>
      <c r="B358" s="11"/>
      <c r="C358" s="11"/>
      <c r="D358" s="11"/>
      <c r="E358" s="11"/>
      <c r="F358" s="11"/>
    </row>
    <row r="359" spans="1:6" ht="15.75" customHeight="1">
      <c r="A359" s="10"/>
      <c r="B359" s="11"/>
      <c r="C359" s="11"/>
      <c r="D359" s="11"/>
      <c r="E359" s="11"/>
      <c r="F359" s="11"/>
    </row>
    <row r="360" spans="1:6" ht="15.75" customHeight="1">
      <c r="A360" s="10"/>
      <c r="B360" s="11"/>
      <c r="C360" s="11"/>
      <c r="D360" s="11"/>
      <c r="E360" s="11"/>
      <c r="F360" s="11"/>
    </row>
    <row r="361" spans="1:6" ht="15.75" customHeight="1">
      <c r="A361" s="10"/>
      <c r="B361" s="11"/>
      <c r="C361" s="11"/>
      <c r="D361" s="11"/>
      <c r="E361" s="11"/>
      <c r="F361" s="11"/>
    </row>
    <row r="362" spans="1:6" ht="15.75" customHeight="1">
      <c r="A362" s="10"/>
      <c r="B362" s="11"/>
      <c r="C362" s="11"/>
      <c r="D362" s="11"/>
      <c r="E362" s="11"/>
      <c r="F362" s="11"/>
    </row>
    <row r="363" spans="1:6" ht="15.75" customHeight="1">
      <c r="A363" s="10"/>
      <c r="B363" s="11"/>
      <c r="C363" s="11"/>
      <c r="D363" s="11"/>
      <c r="E363" s="11"/>
      <c r="F363" s="11"/>
    </row>
    <row r="364" spans="1:6" ht="15.75" customHeight="1">
      <c r="A364" s="10"/>
      <c r="B364" s="11"/>
      <c r="C364" s="11"/>
      <c r="D364" s="11"/>
      <c r="E364" s="11"/>
      <c r="F364" s="11"/>
    </row>
    <row r="365" spans="1:6" ht="15.75" customHeight="1">
      <c r="A365" s="10"/>
      <c r="B365" s="11"/>
      <c r="C365" s="11"/>
      <c r="D365" s="11"/>
      <c r="E365" s="11"/>
      <c r="F365" s="11"/>
    </row>
    <row r="366" spans="1:6" ht="15.75" customHeight="1">
      <c r="A366" s="10"/>
      <c r="B366" s="11"/>
      <c r="C366" s="11"/>
      <c r="D366" s="11"/>
      <c r="E366" s="11"/>
      <c r="F366" s="11"/>
    </row>
    <row r="367" spans="1:6" ht="15.75" customHeight="1">
      <c r="A367" s="10"/>
      <c r="B367" s="11"/>
      <c r="C367" s="11"/>
      <c r="D367" s="11"/>
      <c r="E367" s="11"/>
      <c r="F367" s="11"/>
    </row>
    <row r="368" spans="1:6" ht="15.75" customHeight="1">
      <c r="A368" s="10"/>
      <c r="B368" s="11"/>
      <c r="C368" s="11"/>
      <c r="D368" s="11"/>
      <c r="E368" s="11"/>
      <c r="F368" s="11"/>
    </row>
    <row r="369" spans="1:6" ht="15.75" customHeight="1">
      <c r="A369" s="10"/>
      <c r="B369" s="11"/>
      <c r="C369" s="11"/>
      <c r="D369" s="11"/>
      <c r="E369" s="11"/>
      <c r="F369" s="11"/>
    </row>
    <row r="370" spans="1:6" ht="15.75" customHeight="1">
      <c r="A370" s="10"/>
      <c r="B370" s="11"/>
      <c r="C370" s="11"/>
      <c r="D370" s="11"/>
      <c r="E370" s="11"/>
      <c r="F370" s="11"/>
    </row>
    <row r="371" spans="1:6" ht="15.75" customHeight="1">
      <c r="A371" s="10"/>
      <c r="B371" s="11"/>
      <c r="C371" s="11"/>
      <c r="D371" s="11"/>
      <c r="E371" s="11"/>
      <c r="F371" s="11"/>
    </row>
    <row r="372" spans="1:6" ht="15.75" customHeight="1">
      <c r="A372" s="10"/>
      <c r="B372" s="11"/>
      <c r="C372" s="11"/>
      <c r="D372" s="11"/>
      <c r="E372" s="11"/>
      <c r="F372" s="11"/>
    </row>
    <row r="373" spans="1:6" ht="15.75" customHeight="1">
      <c r="A373" s="10"/>
      <c r="B373" s="11"/>
      <c r="C373" s="11"/>
      <c r="D373" s="11"/>
      <c r="E373" s="11"/>
      <c r="F373" s="11"/>
    </row>
    <row r="374" spans="1:6" ht="15.75" customHeight="1">
      <c r="A374" s="10"/>
      <c r="B374" s="11"/>
      <c r="C374" s="11"/>
      <c r="D374" s="11"/>
      <c r="E374" s="11"/>
      <c r="F374" s="11"/>
    </row>
    <row r="375" spans="1:6" ht="15.75" customHeight="1">
      <c r="A375" s="10"/>
      <c r="B375" s="11"/>
      <c r="C375" s="11"/>
      <c r="D375" s="11"/>
      <c r="E375" s="11"/>
      <c r="F375" s="11"/>
    </row>
    <row r="376" spans="1:6" ht="15.75" customHeight="1">
      <c r="A376" s="10"/>
      <c r="B376" s="11"/>
      <c r="C376" s="11"/>
      <c r="D376" s="11"/>
      <c r="E376" s="11"/>
      <c r="F376" s="11"/>
    </row>
    <row r="377" spans="1:6" ht="15.75" customHeight="1">
      <c r="A377" s="10"/>
      <c r="B377" s="11"/>
      <c r="C377" s="11"/>
      <c r="D377" s="11"/>
      <c r="E377" s="11"/>
      <c r="F377" s="11"/>
    </row>
    <row r="378" spans="1:6" ht="15.75" customHeight="1">
      <c r="A378" s="10"/>
      <c r="B378" s="11"/>
      <c r="C378" s="11"/>
      <c r="D378" s="11"/>
      <c r="E378" s="11"/>
      <c r="F378" s="11"/>
    </row>
    <row r="379" spans="1:6" ht="15.75" customHeight="1">
      <c r="A379" s="10"/>
      <c r="B379" s="11"/>
      <c r="C379" s="11"/>
      <c r="D379" s="11"/>
      <c r="E379" s="11"/>
      <c r="F379" s="11"/>
    </row>
    <row r="380" spans="1:6" ht="15.75" customHeight="1">
      <c r="A380" s="10"/>
      <c r="B380" s="11"/>
      <c r="C380" s="11"/>
      <c r="D380" s="11"/>
      <c r="E380" s="11"/>
      <c r="F380" s="11"/>
    </row>
    <row r="381" spans="1:6" ht="15.75" customHeight="1">
      <c r="A381" s="10"/>
      <c r="B381" s="11"/>
      <c r="C381" s="11"/>
      <c r="D381" s="11"/>
      <c r="E381" s="11"/>
      <c r="F381" s="11"/>
    </row>
    <row r="382" spans="1:6" ht="15.75" customHeight="1">
      <c r="A382" s="10"/>
      <c r="B382" s="11"/>
      <c r="C382" s="11"/>
      <c r="D382" s="11"/>
      <c r="E382" s="11"/>
      <c r="F382" s="11"/>
    </row>
    <row r="383" spans="1:6" ht="15.75" customHeight="1">
      <c r="A383" s="10"/>
      <c r="B383" s="11"/>
      <c r="C383" s="11"/>
      <c r="D383" s="11"/>
      <c r="E383" s="11"/>
      <c r="F383" s="11"/>
    </row>
    <row r="384" spans="1:6" ht="15.75" customHeight="1">
      <c r="A384" s="10"/>
      <c r="B384" s="11"/>
      <c r="C384" s="11"/>
      <c r="D384" s="11"/>
      <c r="E384" s="11"/>
      <c r="F384" s="11"/>
    </row>
    <row r="385" spans="1:6" ht="15.75" customHeight="1">
      <c r="A385" s="10"/>
      <c r="B385" s="11"/>
      <c r="C385" s="11"/>
      <c r="D385" s="11"/>
      <c r="E385" s="11"/>
      <c r="F385" s="11"/>
    </row>
    <row r="386" spans="1:6" ht="15.75" customHeight="1">
      <c r="A386" s="10"/>
      <c r="B386" s="11"/>
      <c r="C386" s="11"/>
      <c r="D386" s="11"/>
      <c r="E386" s="11"/>
      <c r="F386" s="11"/>
    </row>
    <row r="387" spans="1:6" ht="15.75" customHeight="1">
      <c r="A387" s="10"/>
      <c r="B387" s="11"/>
      <c r="C387" s="11"/>
      <c r="D387" s="11"/>
      <c r="E387" s="11"/>
      <c r="F387" s="11"/>
    </row>
    <row r="388" spans="1:6" ht="15.75" customHeight="1">
      <c r="A388" s="10"/>
      <c r="B388" s="11"/>
      <c r="C388" s="11"/>
      <c r="D388" s="11"/>
      <c r="E388" s="11"/>
      <c r="F388" s="11"/>
    </row>
    <row r="389" spans="1:6" ht="15.75" customHeight="1">
      <c r="A389" s="10"/>
      <c r="B389" s="11"/>
      <c r="C389" s="11"/>
      <c r="D389" s="11"/>
      <c r="E389" s="11"/>
      <c r="F389" s="11"/>
    </row>
    <row r="390" spans="1:6" ht="15.75" customHeight="1">
      <c r="A390" s="10"/>
      <c r="B390" s="11"/>
      <c r="C390" s="11"/>
      <c r="D390" s="11"/>
      <c r="E390" s="11"/>
      <c r="F390" s="11"/>
    </row>
    <row r="391" spans="1:6" ht="15.75" customHeight="1">
      <c r="A391" s="10"/>
      <c r="B391" s="11"/>
      <c r="C391" s="11"/>
      <c r="D391" s="11"/>
      <c r="E391" s="11"/>
      <c r="F391" s="11"/>
    </row>
    <row r="392" spans="1:6" ht="15.75" customHeight="1">
      <c r="A392" s="10"/>
      <c r="B392" s="11"/>
      <c r="C392" s="11"/>
      <c r="D392" s="11"/>
      <c r="E392" s="11"/>
      <c r="F392" s="11"/>
    </row>
    <row r="393" spans="1:6" ht="15.75" customHeight="1">
      <c r="A393" s="10"/>
      <c r="B393" s="11"/>
      <c r="C393" s="11"/>
      <c r="D393" s="11"/>
      <c r="E393" s="11"/>
      <c r="F393" s="11"/>
    </row>
    <row r="394" spans="1:6" ht="15.75" customHeight="1">
      <c r="A394" s="10"/>
      <c r="B394" s="11"/>
      <c r="C394" s="11"/>
      <c r="D394" s="11"/>
      <c r="E394" s="11"/>
      <c r="F394" s="11"/>
    </row>
    <row r="395" spans="1:6" ht="15.75" customHeight="1">
      <c r="A395" s="10"/>
      <c r="B395" s="11"/>
      <c r="C395" s="11"/>
      <c r="D395" s="11"/>
      <c r="E395" s="11"/>
      <c r="F395" s="11"/>
    </row>
    <row r="396" spans="1:6" ht="15.75" customHeight="1">
      <c r="A396" s="10"/>
      <c r="B396" s="11"/>
      <c r="C396" s="11"/>
      <c r="D396" s="11"/>
      <c r="E396" s="11"/>
      <c r="F396" s="11"/>
    </row>
    <row r="397" spans="1:6" ht="15.75" customHeight="1">
      <c r="A397" s="10"/>
      <c r="B397" s="11"/>
      <c r="C397" s="11"/>
      <c r="D397" s="11"/>
      <c r="E397" s="11"/>
      <c r="F397" s="11"/>
    </row>
    <row r="398" spans="1:6" ht="15.75" customHeight="1">
      <c r="A398" s="10"/>
      <c r="B398" s="11"/>
      <c r="C398" s="11"/>
      <c r="D398" s="11"/>
      <c r="E398" s="11"/>
      <c r="F398" s="11"/>
    </row>
    <row r="399" spans="1:6" ht="15.75" customHeight="1">
      <c r="A399" s="10"/>
      <c r="B399" s="11"/>
      <c r="C399" s="11"/>
      <c r="D399" s="11"/>
      <c r="E399" s="11"/>
      <c r="F399" s="11"/>
    </row>
    <row r="400" spans="1:6" ht="15.75" customHeight="1">
      <c r="A400" s="10"/>
      <c r="B400" s="11"/>
      <c r="C400" s="11"/>
      <c r="D400" s="11"/>
      <c r="E400" s="11"/>
      <c r="F400" s="11"/>
    </row>
    <row r="401" spans="1:6" ht="15.75" customHeight="1">
      <c r="A401" s="10"/>
      <c r="B401" s="11"/>
      <c r="C401" s="11"/>
      <c r="D401" s="11"/>
      <c r="E401" s="11"/>
      <c r="F401" s="11"/>
    </row>
    <row r="402" spans="1:6" ht="15.75" customHeight="1">
      <c r="A402" s="10"/>
      <c r="B402" s="11"/>
      <c r="C402" s="11"/>
      <c r="D402" s="11"/>
      <c r="E402" s="11"/>
      <c r="F402" s="11"/>
    </row>
    <row r="403" spans="1:6" ht="15.75" customHeight="1">
      <c r="A403" s="10"/>
      <c r="B403" s="11"/>
      <c r="C403" s="11"/>
      <c r="D403" s="11"/>
      <c r="E403" s="11"/>
      <c r="F403" s="11"/>
    </row>
    <row r="404" spans="1:6" ht="15.75" customHeight="1">
      <c r="A404" s="10"/>
      <c r="B404" s="11"/>
      <c r="C404" s="11"/>
      <c r="D404" s="11"/>
      <c r="E404" s="11"/>
      <c r="F404" s="11"/>
    </row>
    <row r="405" spans="1:6" ht="15.75" customHeight="1">
      <c r="A405" s="10"/>
      <c r="B405" s="11"/>
      <c r="C405" s="11"/>
      <c r="D405" s="11"/>
      <c r="E405" s="11"/>
      <c r="F405" s="11"/>
    </row>
    <row r="406" spans="1:6" ht="15.75" customHeight="1">
      <c r="A406" s="10"/>
      <c r="B406" s="11"/>
      <c r="C406" s="11"/>
      <c r="D406" s="11"/>
      <c r="E406" s="11"/>
      <c r="F406" s="11"/>
    </row>
    <row r="407" spans="1:6" ht="15.75" customHeight="1">
      <c r="A407" s="10"/>
      <c r="B407" s="11"/>
      <c r="C407" s="11"/>
      <c r="D407" s="11"/>
      <c r="E407" s="11"/>
      <c r="F407" s="11"/>
    </row>
    <row r="408" spans="1:6" ht="15.75" customHeight="1">
      <c r="A408" s="10"/>
      <c r="B408" s="11"/>
      <c r="C408" s="11"/>
      <c r="D408" s="11"/>
      <c r="E408" s="11"/>
      <c r="F408" s="11"/>
    </row>
    <row r="409" spans="1:6" ht="15.75" customHeight="1">
      <c r="A409" s="10"/>
      <c r="B409" s="11"/>
      <c r="C409" s="11"/>
      <c r="D409" s="11"/>
      <c r="E409" s="11"/>
      <c r="F409" s="11"/>
    </row>
    <row r="410" spans="1:6" ht="15.75" customHeight="1">
      <c r="A410" s="10"/>
      <c r="B410" s="11"/>
      <c r="C410" s="11"/>
      <c r="D410" s="11"/>
      <c r="E410" s="11"/>
      <c r="F410" s="11"/>
    </row>
    <row r="411" spans="1:6" ht="15.75" customHeight="1">
      <c r="A411" s="10"/>
      <c r="B411" s="11"/>
      <c r="C411" s="11"/>
      <c r="D411" s="11"/>
      <c r="E411" s="11"/>
      <c r="F411" s="11"/>
    </row>
    <row r="412" spans="1:6" ht="15.75" customHeight="1">
      <c r="A412" s="10"/>
      <c r="B412" s="11"/>
      <c r="C412" s="11"/>
      <c r="D412" s="11"/>
      <c r="E412" s="11"/>
      <c r="F412" s="11"/>
    </row>
    <row r="413" spans="1:6" ht="15.75" customHeight="1">
      <c r="A413" s="10"/>
      <c r="B413" s="11"/>
      <c r="C413" s="11"/>
      <c r="D413" s="11"/>
      <c r="E413" s="11"/>
      <c r="F413" s="11"/>
    </row>
    <row r="414" spans="1:6" ht="15.75" customHeight="1">
      <c r="A414" s="10"/>
      <c r="B414" s="11"/>
      <c r="C414" s="11"/>
      <c r="D414" s="11"/>
      <c r="E414" s="11"/>
      <c r="F414" s="11"/>
    </row>
    <row r="415" spans="1:6" ht="15.75" customHeight="1">
      <c r="A415" s="10"/>
      <c r="B415" s="11"/>
      <c r="C415" s="11"/>
      <c r="D415" s="11"/>
      <c r="E415" s="11"/>
      <c r="F415" s="11"/>
    </row>
    <row r="416" spans="1:6" ht="15.75" customHeight="1">
      <c r="A416" s="10"/>
      <c r="B416" s="11"/>
      <c r="C416" s="11"/>
      <c r="D416" s="11"/>
      <c r="E416" s="11"/>
      <c r="F416" s="11"/>
    </row>
    <row r="417" spans="1:6" ht="15.75" customHeight="1">
      <c r="A417" s="10"/>
      <c r="B417" s="11"/>
      <c r="C417" s="11"/>
      <c r="D417" s="11"/>
      <c r="E417" s="11"/>
      <c r="F417" s="11"/>
    </row>
    <row r="418" spans="1:6" ht="15.75" customHeight="1">
      <c r="A418" s="10"/>
      <c r="B418" s="11"/>
      <c r="C418" s="11"/>
      <c r="D418" s="11"/>
      <c r="E418" s="11"/>
      <c r="F418" s="11"/>
    </row>
    <row r="419" spans="1:6" ht="15.75" customHeight="1">
      <c r="A419" s="10"/>
      <c r="B419" s="11"/>
      <c r="C419" s="11"/>
      <c r="D419" s="11"/>
      <c r="E419" s="11"/>
      <c r="F419" s="11"/>
    </row>
    <row r="420" spans="1:6" ht="15.75" customHeight="1">
      <c r="A420" s="10"/>
      <c r="B420" s="11"/>
      <c r="C420" s="11"/>
      <c r="D420" s="11"/>
      <c r="E420" s="11"/>
      <c r="F420" s="11"/>
    </row>
    <row r="421" spans="1:6" ht="15.75" customHeight="1">
      <c r="A421" s="10"/>
      <c r="B421" s="11"/>
      <c r="C421" s="11"/>
      <c r="D421" s="11"/>
      <c r="E421" s="11"/>
      <c r="F421" s="11"/>
    </row>
    <row r="422" spans="1:6" ht="15.75" customHeight="1">
      <c r="A422" s="10"/>
      <c r="B422" s="11"/>
      <c r="C422" s="11"/>
      <c r="D422" s="11"/>
      <c r="E422" s="11"/>
      <c r="F422" s="11"/>
    </row>
    <row r="423" spans="1:6" ht="15.75" customHeight="1">
      <c r="A423" s="10"/>
      <c r="B423" s="11"/>
      <c r="C423" s="11"/>
      <c r="D423" s="11"/>
      <c r="E423" s="11"/>
      <c r="F423" s="11"/>
    </row>
    <row r="424" spans="1:6" ht="15.75" customHeight="1">
      <c r="A424" s="10"/>
      <c r="B424" s="11"/>
      <c r="C424" s="11"/>
      <c r="D424" s="11"/>
      <c r="E424" s="11"/>
      <c r="F424" s="11"/>
    </row>
    <row r="425" spans="1:6" ht="15.75" customHeight="1">
      <c r="A425" s="10"/>
      <c r="B425" s="11"/>
      <c r="C425" s="11"/>
      <c r="D425" s="11"/>
      <c r="E425" s="11"/>
      <c r="F425" s="11"/>
    </row>
    <row r="426" spans="1:6" ht="15.75" customHeight="1">
      <c r="A426" s="10"/>
      <c r="B426" s="11"/>
      <c r="C426" s="11"/>
      <c r="D426" s="11"/>
      <c r="E426" s="11"/>
      <c r="F426" s="11"/>
    </row>
    <row r="427" spans="1:6" ht="15.75" customHeight="1">
      <c r="A427" s="10"/>
      <c r="B427" s="11"/>
      <c r="C427" s="11"/>
      <c r="D427" s="11"/>
      <c r="E427" s="11"/>
      <c r="F427" s="11"/>
    </row>
    <row r="428" spans="1:6" ht="15.75" customHeight="1">
      <c r="A428" s="10"/>
      <c r="B428" s="11"/>
      <c r="C428" s="11"/>
      <c r="D428" s="11"/>
      <c r="E428" s="11"/>
      <c r="F428" s="11"/>
    </row>
    <row r="429" spans="1:6" ht="15.75" customHeight="1">
      <c r="A429" s="10"/>
      <c r="B429" s="11"/>
      <c r="C429" s="11"/>
      <c r="D429" s="11"/>
      <c r="E429" s="11"/>
      <c r="F429" s="11"/>
    </row>
    <row r="430" spans="1:6" ht="15.75" customHeight="1">
      <c r="A430" s="10"/>
      <c r="B430" s="11"/>
      <c r="C430" s="11"/>
      <c r="D430" s="11"/>
      <c r="E430" s="11"/>
      <c r="F430" s="11"/>
    </row>
    <row r="431" spans="1:6" ht="15.75" customHeight="1">
      <c r="A431" s="10"/>
      <c r="B431" s="11"/>
      <c r="C431" s="11"/>
      <c r="D431" s="11"/>
      <c r="E431" s="11"/>
      <c r="F431" s="11"/>
    </row>
    <row r="432" spans="1:6" ht="15.75" customHeight="1">
      <c r="A432" s="10"/>
      <c r="B432" s="11"/>
      <c r="C432" s="11"/>
      <c r="D432" s="11"/>
      <c r="E432" s="11"/>
      <c r="F432" s="11"/>
    </row>
    <row r="433" spans="1:6" ht="15.75" customHeight="1">
      <c r="A433" s="10"/>
      <c r="B433" s="11"/>
      <c r="C433" s="11"/>
      <c r="D433" s="11"/>
      <c r="E433" s="11"/>
      <c r="F433" s="11"/>
    </row>
    <row r="434" spans="1:6" ht="15.75" customHeight="1">
      <c r="A434" s="10"/>
      <c r="B434" s="11"/>
      <c r="C434" s="11"/>
      <c r="D434" s="11"/>
      <c r="E434" s="11"/>
      <c r="F434" s="11"/>
    </row>
    <row r="435" spans="1:6" ht="15.75" customHeight="1">
      <c r="A435" s="10"/>
      <c r="B435" s="11"/>
      <c r="C435" s="11"/>
      <c r="D435" s="11"/>
      <c r="E435" s="11"/>
      <c r="F435" s="11"/>
    </row>
    <row r="436" spans="1:6" ht="15.75" customHeight="1">
      <c r="A436" s="10"/>
      <c r="B436" s="11"/>
      <c r="C436" s="11"/>
      <c r="D436" s="11"/>
      <c r="E436" s="11"/>
      <c r="F436" s="11"/>
    </row>
    <row r="437" spans="1:6" ht="15.75" customHeight="1">
      <c r="A437" s="10"/>
      <c r="B437" s="11"/>
      <c r="C437" s="11"/>
      <c r="D437" s="11"/>
      <c r="E437" s="11"/>
      <c r="F437" s="11"/>
    </row>
    <row r="438" spans="1:6" ht="15.75" customHeight="1">
      <c r="A438" s="10"/>
      <c r="B438" s="11"/>
      <c r="C438" s="11"/>
      <c r="D438" s="11"/>
      <c r="E438" s="11"/>
      <c r="F438" s="11"/>
    </row>
    <row r="439" spans="1:6" ht="15.75" customHeight="1">
      <c r="A439" s="10"/>
      <c r="B439" s="11"/>
      <c r="C439" s="11"/>
      <c r="D439" s="11"/>
      <c r="E439" s="11"/>
      <c r="F439" s="11"/>
    </row>
    <row r="440" spans="1:6" ht="15.75" customHeight="1">
      <c r="A440" s="10"/>
      <c r="B440" s="11"/>
      <c r="C440" s="11"/>
      <c r="D440" s="11"/>
      <c r="E440" s="11"/>
      <c r="F440" s="11"/>
    </row>
    <row r="441" spans="1:6" ht="15.75" customHeight="1">
      <c r="A441" s="10"/>
      <c r="B441" s="11"/>
      <c r="C441" s="11"/>
      <c r="D441" s="11"/>
      <c r="E441" s="11"/>
      <c r="F441" s="11"/>
    </row>
    <row r="442" spans="1:6" ht="15.75" customHeight="1">
      <c r="A442" s="10"/>
      <c r="B442" s="11"/>
      <c r="C442" s="11"/>
      <c r="D442" s="11"/>
      <c r="E442" s="11"/>
      <c r="F442" s="11"/>
    </row>
    <row r="443" spans="1:6" ht="15.75" customHeight="1">
      <c r="A443" s="10"/>
      <c r="B443" s="11"/>
      <c r="C443" s="11"/>
      <c r="D443" s="11"/>
      <c r="E443" s="11"/>
      <c r="F443" s="11"/>
    </row>
    <row r="444" spans="1:6" ht="15.75" customHeight="1">
      <c r="A444" s="10"/>
      <c r="B444" s="11"/>
      <c r="C444" s="11"/>
      <c r="D444" s="11"/>
      <c r="E444" s="11"/>
      <c r="F444" s="11"/>
    </row>
    <row r="445" spans="1:6" ht="15.75" customHeight="1">
      <c r="A445" s="10"/>
      <c r="B445" s="11"/>
      <c r="C445" s="11"/>
      <c r="D445" s="11"/>
      <c r="E445" s="11"/>
      <c r="F445" s="11"/>
    </row>
    <row r="446" spans="1:6" ht="15.75" customHeight="1">
      <c r="A446" s="10"/>
      <c r="B446" s="11"/>
      <c r="C446" s="11"/>
      <c r="D446" s="11"/>
      <c r="E446" s="11"/>
      <c r="F446" s="11"/>
    </row>
    <row r="447" spans="1:6" ht="15.75" customHeight="1">
      <c r="A447" s="10"/>
      <c r="B447" s="11"/>
      <c r="C447" s="11"/>
      <c r="D447" s="11"/>
      <c r="E447" s="11"/>
      <c r="F447" s="11"/>
    </row>
    <row r="448" spans="1:6" ht="15.75" customHeight="1">
      <c r="A448" s="10"/>
      <c r="B448" s="11"/>
      <c r="C448" s="11"/>
      <c r="D448" s="11"/>
      <c r="E448" s="11"/>
      <c r="F448" s="11"/>
    </row>
    <row r="449" spans="1:6" ht="15.75" customHeight="1">
      <c r="A449" s="10"/>
      <c r="B449" s="11"/>
      <c r="C449" s="11"/>
      <c r="D449" s="11"/>
      <c r="E449" s="11"/>
      <c r="F449" s="11"/>
    </row>
    <row r="450" spans="1:6" ht="15.75" customHeight="1">
      <c r="A450" s="10"/>
      <c r="B450" s="11"/>
      <c r="C450" s="11"/>
      <c r="D450" s="11"/>
      <c r="E450" s="11"/>
      <c r="F450" s="11"/>
    </row>
    <row r="451" spans="1:6" ht="15.75" customHeight="1">
      <c r="A451" s="10"/>
      <c r="B451" s="11"/>
      <c r="C451" s="11"/>
      <c r="D451" s="11"/>
      <c r="E451" s="11"/>
      <c r="F451" s="11"/>
    </row>
    <row r="452" spans="1:6" ht="15.75" customHeight="1">
      <c r="A452" s="10"/>
      <c r="B452" s="11"/>
      <c r="C452" s="11"/>
      <c r="D452" s="11"/>
      <c r="E452" s="11"/>
      <c r="F452" s="11"/>
    </row>
    <row r="453" spans="1:6" ht="15.75" customHeight="1">
      <c r="A453" s="10"/>
      <c r="B453" s="11"/>
      <c r="C453" s="11"/>
      <c r="D453" s="11"/>
      <c r="E453" s="11"/>
      <c r="F453" s="11"/>
    </row>
    <row r="454" spans="1:6" ht="15.75" customHeight="1">
      <c r="A454" s="10"/>
      <c r="B454" s="11"/>
      <c r="C454" s="11"/>
      <c r="D454" s="11"/>
      <c r="E454" s="11"/>
      <c r="F454" s="11"/>
    </row>
    <row r="455" spans="1:6" ht="15.75" customHeight="1">
      <c r="A455" s="10"/>
      <c r="B455" s="11"/>
      <c r="C455" s="11"/>
      <c r="D455" s="11"/>
      <c r="E455" s="11"/>
      <c r="F455" s="11"/>
    </row>
    <row r="456" spans="1:6" ht="15.75" customHeight="1">
      <c r="A456" s="10"/>
      <c r="B456" s="11"/>
      <c r="C456" s="11"/>
      <c r="D456" s="11"/>
      <c r="E456" s="11"/>
      <c r="F456" s="11"/>
    </row>
    <row r="457" spans="1:6" ht="15.75" customHeight="1">
      <c r="A457" s="10"/>
      <c r="B457" s="11"/>
      <c r="C457" s="11"/>
      <c r="D457" s="11"/>
      <c r="E457" s="11"/>
      <c r="F457" s="11"/>
    </row>
    <row r="458" spans="1:6" ht="15.75" customHeight="1">
      <c r="A458" s="10"/>
      <c r="B458" s="11"/>
      <c r="C458" s="11"/>
      <c r="D458" s="11"/>
      <c r="E458" s="11"/>
      <c r="F458" s="11"/>
    </row>
    <row r="459" spans="1:6" ht="15.75" customHeight="1">
      <c r="A459" s="10"/>
      <c r="B459" s="11"/>
      <c r="C459" s="11"/>
      <c r="D459" s="11"/>
      <c r="E459" s="11"/>
      <c r="F459" s="11"/>
    </row>
    <row r="460" spans="1:6" ht="15.75" customHeight="1">
      <c r="A460" s="10"/>
      <c r="B460" s="11"/>
      <c r="C460" s="11"/>
      <c r="D460" s="11"/>
      <c r="E460" s="11"/>
      <c r="F460" s="11"/>
    </row>
    <row r="461" spans="1:6" ht="15.75" customHeight="1">
      <c r="A461" s="10"/>
      <c r="B461" s="11"/>
      <c r="C461" s="11"/>
      <c r="D461" s="11"/>
      <c r="E461" s="11"/>
      <c r="F461" s="11"/>
    </row>
    <row r="462" spans="1:6" ht="15.75" customHeight="1">
      <c r="A462" s="10"/>
      <c r="B462" s="11"/>
      <c r="C462" s="11"/>
      <c r="D462" s="11"/>
      <c r="E462" s="11"/>
      <c r="F462" s="11"/>
    </row>
    <row r="463" spans="1:6" ht="15.75" customHeight="1">
      <c r="A463" s="10"/>
      <c r="B463" s="11"/>
      <c r="C463" s="11"/>
      <c r="D463" s="11"/>
      <c r="E463" s="11"/>
      <c r="F463" s="11"/>
    </row>
    <row r="464" spans="1:6" ht="15.75" customHeight="1">
      <c r="A464" s="10"/>
      <c r="B464" s="11"/>
      <c r="C464" s="11"/>
      <c r="D464" s="11"/>
      <c r="E464" s="11"/>
      <c r="F464" s="11"/>
    </row>
    <row r="465" spans="1:6" ht="15.75" customHeight="1">
      <c r="A465" s="10"/>
      <c r="B465" s="11"/>
      <c r="C465" s="11"/>
      <c r="D465" s="11"/>
      <c r="E465" s="11"/>
      <c r="F465" s="11"/>
    </row>
    <row r="466" spans="1:6" ht="15.75" customHeight="1">
      <c r="A466" s="10"/>
      <c r="B466" s="11"/>
      <c r="C466" s="11"/>
      <c r="D466" s="11"/>
      <c r="E466" s="11"/>
      <c r="F466" s="11"/>
    </row>
    <row r="467" spans="1:6" ht="15.75" customHeight="1">
      <c r="A467" s="10"/>
      <c r="B467" s="11"/>
      <c r="C467" s="11"/>
      <c r="D467" s="11"/>
      <c r="E467" s="11"/>
      <c r="F467" s="11"/>
    </row>
    <row r="468" spans="1:6" ht="15.75" customHeight="1">
      <c r="A468" s="10"/>
      <c r="B468" s="11"/>
      <c r="C468" s="11"/>
      <c r="D468" s="11"/>
      <c r="E468" s="11"/>
      <c r="F468" s="11"/>
    </row>
    <row r="469" spans="1:6" ht="15.75" customHeight="1">
      <c r="A469" s="10"/>
      <c r="B469" s="11"/>
      <c r="C469" s="11"/>
      <c r="D469" s="11"/>
      <c r="E469" s="11"/>
      <c r="F469" s="11"/>
    </row>
    <row r="470" spans="1:6" ht="15.75" customHeight="1">
      <c r="A470" s="10"/>
      <c r="B470" s="11"/>
      <c r="C470" s="11"/>
      <c r="D470" s="11"/>
      <c r="E470" s="11"/>
      <c r="F470" s="11"/>
    </row>
    <row r="471" spans="1:6" ht="15.75" customHeight="1">
      <c r="A471" s="10"/>
      <c r="B471" s="11"/>
      <c r="C471" s="11"/>
      <c r="D471" s="11"/>
      <c r="E471" s="11"/>
      <c r="F471" s="11"/>
    </row>
    <row r="472" spans="1:6" ht="15.75" customHeight="1">
      <c r="A472" s="10"/>
      <c r="B472" s="11"/>
      <c r="C472" s="11"/>
      <c r="D472" s="11"/>
      <c r="E472" s="11"/>
      <c r="F472" s="11"/>
    </row>
    <row r="473" spans="1:6" ht="15.75" customHeight="1">
      <c r="A473" s="10"/>
      <c r="B473" s="11"/>
      <c r="C473" s="11"/>
      <c r="D473" s="11"/>
      <c r="E473" s="11"/>
      <c r="F473" s="11"/>
    </row>
    <row r="474" spans="1:6" ht="15.75" customHeight="1">
      <c r="A474" s="10"/>
      <c r="B474" s="11"/>
      <c r="C474" s="11"/>
      <c r="D474" s="11"/>
      <c r="E474" s="11"/>
      <c r="F474" s="11"/>
    </row>
    <row r="475" spans="1:6" ht="15.75" customHeight="1">
      <c r="A475" s="10"/>
      <c r="B475" s="11"/>
      <c r="C475" s="11"/>
      <c r="D475" s="11"/>
      <c r="E475" s="11"/>
      <c r="F475" s="11"/>
    </row>
    <row r="476" spans="1:6" ht="15.75" customHeight="1">
      <c r="A476" s="10"/>
      <c r="B476" s="11"/>
      <c r="C476" s="11"/>
      <c r="D476" s="11"/>
      <c r="E476" s="11"/>
      <c r="F476" s="11"/>
    </row>
    <row r="477" spans="1:6" ht="15.75" customHeight="1">
      <c r="A477" s="10"/>
      <c r="B477" s="11"/>
      <c r="C477" s="11"/>
      <c r="D477" s="11"/>
      <c r="E477" s="11"/>
      <c r="F477" s="11"/>
    </row>
    <row r="478" spans="1:6" ht="15.75" customHeight="1">
      <c r="A478" s="10"/>
      <c r="B478" s="11"/>
      <c r="C478" s="11"/>
      <c r="D478" s="11"/>
      <c r="E478" s="11"/>
      <c r="F478" s="11"/>
    </row>
    <row r="479" spans="1:6" ht="15.75" customHeight="1">
      <c r="A479" s="10"/>
      <c r="B479" s="11"/>
      <c r="C479" s="11"/>
      <c r="D479" s="11"/>
      <c r="E479" s="11"/>
      <c r="F479" s="11"/>
    </row>
    <row r="480" spans="1:6" ht="15.75" customHeight="1">
      <c r="A480" s="10"/>
      <c r="B480" s="11"/>
      <c r="C480" s="11"/>
      <c r="D480" s="11"/>
      <c r="E480" s="11"/>
      <c r="F480" s="11"/>
    </row>
    <row r="481" spans="1:6" ht="15.75" customHeight="1">
      <c r="A481" s="10"/>
      <c r="B481" s="11"/>
      <c r="C481" s="11"/>
      <c r="D481" s="11"/>
      <c r="E481" s="11"/>
      <c r="F481" s="11"/>
    </row>
    <row r="482" spans="1:6" ht="15.75" customHeight="1">
      <c r="A482" s="10"/>
      <c r="B482" s="11"/>
      <c r="C482" s="11"/>
      <c r="D482" s="11"/>
      <c r="E482" s="11"/>
      <c r="F482" s="11"/>
    </row>
    <row r="483" spans="1:6" ht="15.75" customHeight="1">
      <c r="A483" s="10"/>
      <c r="B483" s="11"/>
      <c r="C483" s="11"/>
      <c r="D483" s="11"/>
      <c r="E483" s="11"/>
      <c r="F483" s="11"/>
    </row>
    <row r="484" spans="1:6" ht="15.75" customHeight="1">
      <c r="A484" s="10"/>
      <c r="B484" s="11"/>
      <c r="C484" s="11"/>
      <c r="D484" s="11"/>
      <c r="E484" s="11"/>
      <c r="F484" s="11"/>
    </row>
    <row r="485" spans="1:6" ht="15.75" customHeight="1">
      <c r="A485" s="10"/>
      <c r="B485" s="11"/>
      <c r="C485" s="11"/>
      <c r="D485" s="11"/>
      <c r="E485" s="11"/>
      <c r="F485" s="11"/>
    </row>
    <row r="486" spans="1:6" ht="15.75" customHeight="1">
      <c r="A486" s="10"/>
      <c r="B486" s="11"/>
      <c r="C486" s="11"/>
      <c r="D486" s="11"/>
      <c r="E486" s="11"/>
      <c r="F486" s="11"/>
    </row>
    <row r="487" spans="1:6" ht="15.75" customHeight="1">
      <c r="A487" s="10"/>
      <c r="B487" s="11"/>
      <c r="C487" s="11"/>
      <c r="D487" s="11"/>
      <c r="E487" s="11"/>
      <c r="F487" s="11"/>
    </row>
    <row r="488" spans="1:6" ht="15.75" customHeight="1">
      <c r="A488" s="10"/>
      <c r="B488" s="11"/>
      <c r="C488" s="11"/>
      <c r="D488" s="11"/>
      <c r="E488" s="11"/>
      <c r="F488" s="11"/>
    </row>
    <row r="489" spans="1:6" ht="15.75" customHeight="1">
      <c r="A489" s="10"/>
      <c r="B489" s="11"/>
      <c r="C489" s="11"/>
      <c r="D489" s="11"/>
      <c r="E489" s="11"/>
      <c r="F489" s="11"/>
    </row>
    <row r="490" spans="1:6" ht="15.75" customHeight="1">
      <c r="A490" s="10"/>
      <c r="B490" s="11"/>
      <c r="C490" s="11"/>
      <c r="D490" s="11"/>
      <c r="E490" s="11"/>
      <c r="F490" s="11"/>
    </row>
    <row r="491" spans="1:6" ht="15.75" customHeight="1">
      <c r="A491" s="10"/>
      <c r="B491" s="11"/>
      <c r="C491" s="11"/>
      <c r="D491" s="11"/>
      <c r="E491" s="11"/>
      <c r="F491" s="11"/>
    </row>
    <row r="492" spans="1:6" ht="15.75" customHeight="1">
      <c r="A492" s="10"/>
      <c r="B492" s="11"/>
      <c r="C492" s="11"/>
      <c r="D492" s="11"/>
      <c r="E492" s="11"/>
      <c r="F492" s="11"/>
    </row>
    <row r="493" spans="1:6" ht="15.75" customHeight="1">
      <c r="A493" s="10"/>
      <c r="B493" s="11"/>
      <c r="C493" s="11"/>
      <c r="D493" s="11"/>
      <c r="E493" s="11"/>
      <c r="F493" s="11"/>
    </row>
    <row r="494" spans="1:6" ht="15.75" customHeight="1">
      <c r="A494" s="10"/>
      <c r="B494" s="11"/>
      <c r="C494" s="11"/>
      <c r="D494" s="11"/>
      <c r="E494" s="11"/>
      <c r="F494" s="11"/>
    </row>
    <row r="495" spans="1:6" ht="15.75" customHeight="1">
      <c r="A495" s="10"/>
      <c r="B495" s="11"/>
      <c r="C495" s="11"/>
      <c r="D495" s="11"/>
      <c r="E495" s="11"/>
      <c r="F495" s="11"/>
    </row>
    <row r="496" spans="1:6" ht="15.75" customHeight="1">
      <c r="A496" s="10"/>
      <c r="B496" s="11"/>
      <c r="C496" s="11"/>
      <c r="D496" s="11"/>
      <c r="E496" s="11"/>
      <c r="F496" s="11"/>
    </row>
    <row r="497" spans="1:6" ht="15.75" customHeight="1">
      <c r="A497" s="10"/>
      <c r="B497" s="11"/>
      <c r="C497" s="11"/>
      <c r="D497" s="11"/>
      <c r="E497" s="11"/>
      <c r="F497" s="11"/>
    </row>
    <row r="498" spans="1:6" ht="15.75" customHeight="1">
      <c r="A498" s="10"/>
      <c r="B498" s="11"/>
      <c r="C498" s="11"/>
      <c r="D498" s="11"/>
      <c r="E498" s="11"/>
      <c r="F498" s="11"/>
    </row>
    <row r="499" spans="1:6" ht="15.75" customHeight="1">
      <c r="A499" s="10"/>
      <c r="B499" s="11"/>
      <c r="C499" s="11"/>
      <c r="D499" s="11"/>
      <c r="E499" s="11"/>
      <c r="F499" s="11"/>
    </row>
    <row r="500" spans="1:6" ht="15.75" customHeight="1">
      <c r="A500" s="10"/>
      <c r="B500" s="11"/>
      <c r="C500" s="11"/>
      <c r="D500" s="11"/>
      <c r="E500" s="11"/>
      <c r="F500" s="11"/>
    </row>
    <row r="501" spans="1:6" ht="15.75" customHeight="1">
      <c r="A501" s="10"/>
      <c r="B501" s="11"/>
      <c r="C501" s="11"/>
      <c r="D501" s="11"/>
      <c r="E501" s="11"/>
      <c r="F501" s="11"/>
    </row>
    <row r="502" spans="1:6" ht="15.75" customHeight="1">
      <c r="A502" s="10"/>
      <c r="B502" s="11"/>
      <c r="C502" s="11"/>
      <c r="D502" s="11"/>
      <c r="E502" s="11"/>
      <c r="F502" s="11"/>
    </row>
    <row r="503" spans="1:6" ht="15.75" customHeight="1">
      <c r="A503" s="10"/>
      <c r="B503" s="11"/>
      <c r="C503" s="11"/>
      <c r="D503" s="11"/>
      <c r="E503" s="11"/>
      <c r="F503" s="11"/>
    </row>
    <row r="504" spans="1:6" ht="15.75" customHeight="1">
      <c r="A504" s="10"/>
      <c r="B504" s="11"/>
      <c r="C504" s="11"/>
      <c r="D504" s="11"/>
      <c r="E504" s="11"/>
      <c r="F504" s="11"/>
    </row>
    <row r="505" spans="1:6" ht="15.75" customHeight="1">
      <c r="A505" s="10"/>
      <c r="B505" s="11"/>
      <c r="C505" s="11"/>
      <c r="D505" s="11"/>
      <c r="E505" s="11"/>
      <c r="F505" s="11"/>
    </row>
    <row r="506" spans="1:6" ht="15.75" customHeight="1">
      <c r="A506" s="10"/>
      <c r="B506" s="11"/>
      <c r="C506" s="11"/>
      <c r="D506" s="11"/>
      <c r="E506" s="11"/>
      <c r="F506" s="11"/>
    </row>
    <row r="507" spans="1:6" ht="15.75" customHeight="1">
      <c r="A507" s="10"/>
      <c r="B507" s="11"/>
      <c r="C507" s="11"/>
      <c r="D507" s="11"/>
      <c r="E507" s="11"/>
      <c r="F507" s="11"/>
    </row>
    <row r="508" spans="1:6" ht="15.75" customHeight="1">
      <c r="A508" s="10"/>
      <c r="B508" s="11"/>
      <c r="C508" s="11"/>
      <c r="D508" s="11"/>
      <c r="E508" s="11"/>
      <c r="F508" s="11"/>
    </row>
    <row r="509" spans="1:6" ht="15.75" customHeight="1">
      <c r="A509" s="10"/>
      <c r="B509" s="11"/>
      <c r="C509" s="11"/>
      <c r="D509" s="11"/>
      <c r="E509" s="11"/>
      <c r="F509" s="11"/>
    </row>
    <row r="510" spans="1:6" ht="15.75" customHeight="1">
      <c r="A510" s="10"/>
      <c r="B510" s="11"/>
      <c r="C510" s="11"/>
      <c r="D510" s="11"/>
      <c r="E510" s="11"/>
      <c r="F510" s="11"/>
    </row>
    <row r="511" spans="1:6" ht="15.75" customHeight="1">
      <c r="A511" s="10"/>
      <c r="B511" s="11"/>
      <c r="C511" s="11"/>
      <c r="D511" s="11"/>
      <c r="E511" s="11"/>
      <c r="F511" s="11"/>
    </row>
    <row r="512" spans="1:6" ht="15.75" customHeight="1">
      <c r="A512" s="10"/>
      <c r="B512" s="11"/>
      <c r="C512" s="11"/>
      <c r="D512" s="11"/>
      <c r="E512" s="11"/>
      <c r="F512" s="11"/>
    </row>
    <row r="513" spans="1:6" ht="15.75" customHeight="1">
      <c r="A513" s="10"/>
      <c r="B513" s="11"/>
      <c r="C513" s="11"/>
      <c r="D513" s="11"/>
      <c r="E513" s="11"/>
      <c r="F513" s="11"/>
    </row>
    <row r="514" spans="1:6" ht="15.75" customHeight="1">
      <c r="A514" s="10"/>
      <c r="B514" s="11"/>
      <c r="C514" s="11"/>
      <c r="D514" s="11"/>
      <c r="E514" s="11"/>
      <c r="F514" s="11"/>
    </row>
    <row r="515" spans="1:6" ht="15.75" customHeight="1">
      <c r="A515" s="10"/>
      <c r="B515" s="11"/>
      <c r="C515" s="11"/>
      <c r="D515" s="11"/>
      <c r="E515" s="11"/>
      <c r="F515" s="11"/>
    </row>
    <row r="516" spans="1:6" ht="15.75" customHeight="1">
      <c r="A516" s="10"/>
      <c r="B516" s="11"/>
      <c r="C516" s="11"/>
      <c r="D516" s="11"/>
      <c r="E516" s="11"/>
      <c r="F516" s="11"/>
    </row>
    <row r="517" spans="1:6" ht="15.75" customHeight="1">
      <c r="A517" s="10"/>
      <c r="B517" s="11"/>
      <c r="C517" s="11"/>
      <c r="D517" s="11"/>
      <c r="E517" s="11"/>
      <c r="F517" s="11"/>
    </row>
    <row r="518" spans="1:6" ht="15.75" customHeight="1">
      <c r="A518" s="10"/>
      <c r="B518" s="11"/>
      <c r="C518" s="11"/>
      <c r="D518" s="11"/>
      <c r="E518" s="11"/>
      <c r="F518" s="11"/>
    </row>
    <row r="519" spans="1:6" ht="15.75" customHeight="1">
      <c r="A519" s="10"/>
      <c r="B519" s="11"/>
      <c r="C519" s="11"/>
      <c r="D519" s="11"/>
      <c r="E519" s="11"/>
      <c r="F519" s="11"/>
    </row>
    <row r="520" spans="1:6" ht="15.75" customHeight="1">
      <c r="A520" s="10"/>
      <c r="B520" s="11"/>
      <c r="C520" s="11"/>
      <c r="D520" s="11"/>
      <c r="E520" s="11"/>
      <c r="F520" s="11"/>
    </row>
    <row r="521" spans="1:6" ht="15.75" customHeight="1">
      <c r="A521" s="10"/>
      <c r="B521" s="11"/>
      <c r="C521" s="11"/>
      <c r="D521" s="11"/>
      <c r="E521" s="11"/>
      <c r="F521" s="11"/>
    </row>
    <row r="522" spans="1:6" ht="15.75" customHeight="1">
      <c r="A522" s="10"/>
      <c r="B522" s="11"/>
      <c r="C522" s="11"/>
      <c r="D522" s="11"/>
      <c r="E522" s="11"/>
      <c r="F522" s="11"/>
    </row>
    <row r="523" spans="1:6" ht="15.75" customHeight="1">
      <c r="A523" s="10"/>
      <c r="B523" s="11"/>
      <c r="C523" s="11"/>
      <c r="D523" s="11"/>
      <c r="E523" s="11"/>
      <c r="F523" s="11"/>
    </row>
    <row r="524" spans="1:6" ht="15.75" customHeight="1">
      <c r="A524" s="10"/>
      <c r="B524" s="11"/>
      <c r="C524" s="11"/>
      <c r="D524" s="11"/>
      <c r="E524" s="11"/>
      <c r="F524" s="11"/>
    </row>
    <row r="525" spans="1:6" ht="15.75" customHeight="1">
      <c r="A525" s="10"/>
      <c r="B525" s="11"/>
      <c r="C525" s="11"/>
      <c r="D525" s="11"/>
      <c r="E525" s="11"/>
      <c r="F525" s="11"/>
    </row>
    <row r="526" spans="1:6" ht="15.75" customHeight="1">
      <c r="A526" s="10"/>
      <c r="B526" s="11"/>
      <c r="C526" s="11"/>
      <c r="D526" s="11"/>
      <c r="E526" s="11"/>
      <c r="F526" s="11"/>
    </row>
    <row r="527" spans="1:6" ht="15.75" customHeight="1">
      <c r="A527" s="10"/>
      <c r="B527" s="11"/>
      <c r="C527" s="11"/>
      <c r="D527" s="11"/>
      <c r="E527" s="11"/>
      <c r="F527" s="11"/>
    </row>
    <row r="528" spans="1:6" ht="15.75" customHeight="1">
      <c r="A528" s="10"/>
      <c r="B528" s="11"/>
      <c r="C528" s="11"/>
      <c r="D528" s="11"/>
      <c r="E528" s="11"/>
      <c r="F528" s="11"/>
    </row>
    <row r="529" spans="1:6" ht="15.75" customHeight="1">
      <c r="A529" s="10"/>
      <c r="B529" s="11"/>
      <c r="C529" s="11"/>
      <c r="D529" s="11"/>
      <c r="E529" s="11"/>
      <c r="F529" s="11"/>
    </row>
    <row r="530" spans="1:6" ht="15.75" customHeight="1">
      <c r="A530" s="10"/>
      <c r="B530" s="11"/>
      <c r="C530" s="11"/>
      <c r="D530" s="11"/>
      <c r="E530" s="11"/>
      <c r="F530" s="11"/>
    </row>
    <row r="531" spans="1:6" ht="15.75" customHeight="1">
      <c r="A531" s="10"/>
      <c r="B531" s="11"/>
      <c r="C531" s="11"/>
      <c r="D531" s="11"/>
      <c r="E531" s="11"/>
      <c r="F531" s="11"/>
    </row>
    <row r="532" spans="1:6" ht="15.75" customHeight="1">
      <c r="A532" s="10"/>
      <c r="B532" s="11"/>
      <c r="C532" s="11"/>
      <c r="D532" s="11"/>
      <c r="E532" s="11"/>
      <c r="F532" s="11"/>
    </row>
    <row r="533" spans="1:6" ht="15.75" customHeight="1">
      <c r="A533" s="10"/>
      <c r="B533" s="11"/>
      <c r="C533" s="11"/>
      <c r="D533" s="11"/>
      <c r="E533" s="11"/>
      <c r="F533" s="11"/>
    </row>
    <row r="534" spans="1:6" ht="15.75" customHeight="1">
      <c r="A534" s="10"/>
      <c r="B534" s="11"/>
      <c r="C534" s="11"/>
      <c r="D534" s="11"/>
      <c r="E534" s="11"/>
      <c r="F534" s="11"/>
    </row>
    <row r="535" spans="1:6" ht="15.75" customHeight="1">
      <c r="A535" s="10"/>
      <c r="B535" s="11"/>
      <c r="C535" s="11"/>
      <c r="D535" s="11"/>
      <c r="E535" s="11"/>
      <c r="F535" s="11"/>
    </row>
    <row r="536" spans="1:6" ht="15.75" customHeight="1">
      <c r="A536" s="10"/>
      <c r="B536" s="11"/>
      <c r="C536" s="11"/>
      <c r="D536" s="11"/>
      <c r="E536" s="11"/>
      <c r="F536" s="11"/>
    </row>
    <row r="537" spans="1:6" ht="15.75" customHeight="1">
      <c r="A537" s="10"/>
      <c r="B537" s="11"/>
      <c r="C537" s="11"/>
      <c r="D537" s="11"/>
      <c r="E537" s="11"/>
      <c r="F537" s="11"/>
    </row>
    <row r="538" spans="1:6" ht="15.75" customHeight="1">
      <c r="A538" s="10"/>
      <c r="B538" s="11"/>
      <c r="C538" s="11"/>
      <c r="D538" s="11"/>
      <c r="E538" s="11"/>
      <c r="F538" s="11"/>
    </row>
    <row r="539" spans="1:6" ht="15.75" customHeight="1">
      <c r="A539" s="10"/>
      <c r="B539" s="11"/>
      <c r="C539" s="11"/>
      <c r="D539" s="11"/>
      <c r="E539" s="11"/>
      <c r="F539" s="11"/>
    </row>
    <row r="540" spans="1:6" ht="15.75" customHeight="1">
      <c r="A540" s="10"/>
      <c r="B540" s="11"/>
      <c r="C540" s="11"/>
      <c r="D540" s="11"/>
      <c r="E540" s="11"/>
      <c r="F540" s="11"/>
    </row>
    <row r="541" spans="1:6" ht="15.75" customHeight="1">
      <c r="A541" s="10"/>
      <c r="B541" s="11"/>
      <c r="C541" s="11"/>
      <c r="D541" s="11"/>
      <c r="E541" s="11"/>
      <c r="F541" s="11"/>
    </row>
    <row r="542" spans="1:6" ht="15.75" customHeight="1">
      <c r="A542" s="10"/>
      <c r="B542" s="11"/>
      <c r="C542" s="11"/>
      <c r="D542" s="11"/>
      <c r="E542" s="11"/>
      <c r="F542" s="11"/>
    </row>
    <row r="543" spans="1:6" ht="15.75" customHeight="1">
      <c r="A543" s="10"/>
      <c r="B543" s="11"/>
      <c r="C543" s="11"/>
      <c r="D543" s="11"/>
      <c r="E543" s="11"/>
      <c r="F543" s="11"/>
    </row>
    <row r="544" spans="1:6" ht="15.75" customHeight="1">
      <c r="A544" s="10"/>
      <c r="B544" s="11"/>
      <c r="C544" s="11"/>
      <c r="D544" s="11"/>
      <c r="E544" s="11"/>
      <c r="F544" s="11"/>
    </row>
    <row r="545" spans="1:6" ht="15.75" customHeight="1">
      <c r="A545" s="10"/>
      <c r="B545" s="11"/>
      <c r="C545" s="11"/>
      <c r="D545" s="11"/>
      <c r="E545" s="11"/>
      <c r="F545" s="11"/>
    </row>
    <row r="546" spans="1:6" ht="15.75" customHeight="1">
      <c r="A546" s="10"/>
      <c r="B546" s="11"/>
      <c r="C546" s="11"/>
      <c r="D546" s="11"/>
      <c r="E546" s="11"/>
      <c r="F546" s="11"/>
    </row>
    <row r="547" spans="1:6" ht="15.75" customHeight="1">
      <c r="A547" s="10"/>
      <c r="B547" s="11"/>
      <c r="C547" s="11"/>
      <c r="D547" s="11"/>
      <c r="E547" s="11"/>
      <c r="F547" s="11"/>
    </row>
    <row r="548" spans="1:6" ht="15.75" customHeight="1">
      <c r="A548" s="10"/>
      <c r="B548" s="11"/>
      <c r="C548" s="11"/>
      <c r="D548" s="11"/>
      <c r="E548" s="11"/>
      <c r="F548" s="11"/>
    </row>
    <row r="549" spans="1:6" ht="15.75" customHeight="1">
      <c r="A549" s="10"/>
      <c r="B549" s="11"/>
      <c r="C549" s="11"/>
      <c r="D549" s="11"/>
      <c r="E549" s="11"/>
      <c r="F549" s="11"/>
    </row>
    <row r="550" spans="1:6" ht="15.75" customHeight="1">
      <c r="A550" s="10"/>
      <c r="B550" s="11"/>
      <c r="C550" s="11"/>
      <c r="D550" s="11"/>
      <c r="E550" s="11"/>
      <c r="F550" s="11"/>
    </row>
    <row r="551" spans="1:6" ht="15.75" customHeight="1">
      <c r="A551" s="10"/>
      <c r="B551" s="11"/>
      <c r="C551" s="11"/>
      <c r="D551" s="11"/>
      <c r="E551" s="11"/>
      <c r="F551" s="11"/>
    </row>
    <row r="552" spans="1:6" ht="15.75" customHeight="1">
      <c r="A552" s="10"/>
      <c r="B552" s="11"/>
      <c r="C552" s="11"/>
      <c r="D552" s="11"/>
      <c r="E552" s="11"/>
      <c r="F552" s="11"/>
    </row>
    <row r="553" spans="1:6" ht="15.75" customHeight="1">
      <c r="A553" s="10"/>
      <c r="B553" s="11"/>
      <c r="C553" s="11"/>
      <c r="D553" s="11"/>
      <c r="E553" s="11"/>
      <c r="F553" s="11"/>
    </row>
    <row r="554" spans="1:6" ht="15.75" customHeight="1">
      <c r="A554" s="10"/>
      <c r="B554" s="11"/>
      <c r="C554" s="11"/>
      <c r="D554" s="11"/>
      <c r="E554" s="11"/>
      <c r="F554" s="11"/>
    </row>
    <row r="555" spans="1:6" ht="15.75" customHeight="1">
      <c r="A555" s="10"/>
      <c r="B555" s="11"/>
      <c r="C555" s="11"/>
      <c r="D555" s="11"/>
      <c r="E555" s="11"/>
      <c r="F555" s="11"/>
    </row>
    <row r="556" spans="1:6" ht="15.75" customHeight="1">
      <c r="A556" s="10"/>
      <c r="B556" s="11"/>
      <c r="C556" s="11"/>
      <c r="D556" s="11"/>
      <c r="E556" s="11"/>
      <c r="F556" s="11"/>
    </row>
    <row r="557" spans="1:6" ht="15.75" customHeight="1">
      <c r="A557" s="10"/>
      <c r="B557" s="11"/>
      <c r="C557" s="11"/>
      <c r="D557" s="11"/>
      <c r="E557" s="11"/>
      <c r="F557" s="11"/>
    </row>
    <row r="558" spans="1:6" ht="15.75" customHeight="1">
      <c r="A558" s="10"/>
      <c r="B558" s="11"/>
      <c r="C558" s="11"/>
      <c r="D558" s="11"/>
      <c r="E558" s="11"/>
      <c r="F558" s="11"/>
    </row>
    <row r="559" spans="1:6" ht="15.75" customHeight="1">
      <c r="A559" s="10"/>
      <c r="B559" s="11"/>
      <c r="C559" s="11"/>
      <c r="D559" s="11"/>
      <c r="E559" s="11"/>
      <c r="F559" s="11"/>
    </row>
    <row r="560" spans="1:6" ht="15.75" customHeight="1">
      <c r="A560" s="10"/>
      <c r="B560" s="11"/>
      <c r="C560" s="11"/>
      <c r="D560" s="11"/>
      <c r="E560" s="11"/>
      <c r="F560" s="11"/>
    </row>
    <row r="561" spans="1:6" ht="15.75" customHeight="1">
      <c r="A561" s="10"/>
      <c r="B561" s="11"/>
      <c r="C561" s="11"/>
      <c r="D561" s="11"/>
      <c r="E561" s="11"/>
      <c r="F561" s="11"/>
    </row>
    <row r="562" spans="1:6" ht="15.75" customHeight="1">
      <c r="A562" s="10"/>
      <c r="B562" s="11"/>
      <c r="C562" s="11"/>
      <c r="D562" s="11"/>
      <c r="E562" s="11"/>
      <c r="F562" s="11"/>
    </row>
    <row r="563" spans="1:6" ht="15.75" customHeight="1">
      <c r="A563" s="10"/>
      <c r="B563" s="11"/>
      <c r="C563" s="11"/>
      <c r="D563" s="11"/>
      <c r="E563" s="11"/>
      <c r="F563" s="11"/>
    </row>
    <row r="564" spans="1:6" ht="15.75" customHeight="1">
      <c r="A564" s="10"/>
      <c r="B564" s="11"/>
      <c r="C564" s="11"/>
      <c r="D564" s="11"/>
      <c r="E564" s="11"/>
      <c r="F564" s="11"/>
    </row>
    <row r="565" spans="1:6" ht="15.75" customHeight="1">
      <c r="A565" s="10"/>
      <c r="B565" s="11"/>
      <c r="C565" s="11"/>
      <c r="D565" s="11"/>
      <c r="E565" s="11"/>
      <c r="F565" s="11"/>
    </row>
    <row r="566" spans="1:6" ht="15.75" customHeight="1">
      <c r="A566" s="10"/>
      <c r="B566" s="11"/>
      <c r="C566" s="11"/>
      <c r="D566" s="11"/>
      <c r="E566" s="11"/>
      <c r="F566" s="11"/>
    </row>
    <row r="567" spans="1:6" ht="15.75" customHeight="1">
      <c r="A567" s="10"/>
      <c r="B567" s="11"/>
      <c r="C567" s="11"/>
      <c r="D567" s="11"/>
      <c r="E567" s="11"/>
      <c r="F567" s="11"/>
    </row>
    <row r="568" spans="1:6" ht="15.75" customHeight="1">
      <c r="A568" s="10"/>
      <c r="B568" s="11"/>
      <c r="C568" s="11"/>
      <c r="D568" s="11"/>
      <c r="E568" s="11"/>
      <c r="F568" s="11"/>
    </row>
    <row r="569" spans="1:6" ht="15.75" customHeight="1">
      <c r="A569" s="10"/>
      <c r="B569" s="11"/>
      <c r="C569" s="11"/>
      <c r="D569" s="11"/>
      <c r="E569" s="11"/>
      <c r="F569" s="11"/>
    </row>
    <row r="570" spans="1:6" ht="15.75" customHeight="1">
      <c r="A570" s="10"/>
      <c r="B570" s="11"/>
      <c r="C570" s="11"/>
      <c r="D570" s="11"/>
      <c r="E570" s="11"/>
      <c r="F570" s="11"/>
    </row>
    <row r="571" spans="1:6" ht="15.75" customHeight="1">
      <c r="A571" s="10"/>
      <c r="B571" s="11"/>
      <c r="C571" s="11"/>
      <c r="D571" s="11"/>
      <c r="E571" s="11"/>
      <c r="F571" s="11"/>
    </row>
    <row r="572" spans="1:6" ht="15.75" customHeight="1">
      <c r="A572" s="10"/>
      <c r="B572" s="11"/>
      <c r="C572" s="11"/>
      <c r="D572" s="11"/>
      <c r="E572" s="11"/>
      <c r="F572" s="11"/>
    </row>
    <row r="573" spans="1:6" ht="15.75" customHeight="1">
      <c r="A573" s="10"/>
      <c r="B573" s="11"/>
      <c r="C573" s="11"/>
      <c r="D573" s="11"/>
      <c r="E573" s="11"/>
      <c r="F573" s="11"/>
    </row>
    <row r="574" spans="1:6" ht="15.75" customHeight="1">
      <c r="A574" s="10"/>
      <c r="B574" s="11"/>
      <c r="C574" s="11"/>
      <c r="D574" s="11"/>
      <c r="E574" s="11"/>
      <c r="F574" s="11"/>
    </row>
    <row r="575" spans="1:6" ht="15.75" customHeight="1">
      <c r="A575" s="10"/>
      <c r="B575" s="11"/>
      <c r="C575" s="11"/>
      <c r="D575" s="11"/>
      <c r="E575" s="11"/>
      <c r="F575" s="11"/>
    </row>
    <row r="576" spans="1:6" ht="15.75" customHeight="1">
      <c r="A576" s="10"/>
      <c r="B576" s="11"/>
      <c r="C576" s="11"/>
      <c r="D576" s="11"/>
      <c r="E576" s="11"/>
      <c r="F576" s="11"/>
    </row>
    <row r="577" spans="1:6" ht="15.75" customHeight="1">
      <c r="A577" s="10"/>
      <c r="B577" s="11"/>
      <c r="C577" s="11"/>
      <c r="D577" s="11"/>
      <c r="E577" s="11"/>
      <c r="F577" s="11"/>
    </row>
    <row r="578" spans="1:6" ht="15.75" customHeight="1">
      <c r="A578" s="10"/>
      <c r="B578" s="11"/>
      <c r="C578" s="11"/>
      <c r="D578" s="11"/>
      <c r="E578" s="11"/>
      <c r="F578" s="11"/>
    </row>
    <row r="579" spans="1:6" ht="15.75" customHeight="1">
      <c r="A579" s="10"/>
      <c r="B579" s="11"/>
      <c r="C579" s="11"/>
      <c r="D579" s="11"/>
      <c r="E579" s="11"/>
      <c r="F579" s="11"/>
    </row>
    <row r="580" spans="1:6" ht="15.75" customHeight="1">
      <c r="A580" s="10"/>
      <c r="B580" s="11"/>
      <c r="C580" s="11"/>
      <c r="D580" s="11"/>
      <c r="E580" s="11"/>
      <c r="F580" s="11"/>
    </row>
    <row r="581" spans="1:6" ht="15.75" customHeight="1">
      <c r="A581" s="10"/>
      <c r="B581" s="11"/>
      <c r="C581" s="11"/>
      <c r="D581" s="11"/>
      <c r="E581" s="11"/>
      <c r="F581" s="11"/>
    </row>
    <row r="582" spans="1:6" ht="15.75" customHeight="1">
      <c r="A582" s="10"/>
      <c r="B582" s="11"/>
      <c r="C582" s="11"/>
      <c r="D582" s="11"/>
      <c r="E582" s="11"/>
      <c r="F582" s="11"/>
    </row>
    <row r="583" spans="1:6" ht="15.75" customHeight="1">
      <c r="A583" s="10"/>
      <c r="B583" s="11"/>
      <c r="C583" s="11"/>
      <c r="D583" s="11"/>
      <c r="E583" s="11"/>
      <c r="F583" s="11"/>
    </row>
    <row r="584" spans="1:6" ht="15.75" customHeight="1">
      <c r="A584" s="10"/>
      <c r="B584" s="11"/>
      <c r="C584" s="11"/>
      <c r="D584" s="11"/>
      <c r="E584" s="11"/>
      <c r="F584" s="11"/>
    </row>
    <row r="585" spans="1:6" ht="15.75" customHeight="1">
      <c r="A585" s="10"/>
      <c r="B585" s="11"/>
      <c r="C585" s="11"/>
      <c r="D585" s="11"/>
      <c r="E585" s="11"/>
      <c r="F585" s="11"/>
    </row>
    <row r="586" spans="1:6" ht="15.75" customHeight="1">
      <c r="A586" s="10"/>
      <c r="B586" s="11"/>
      <c r="C586" s="11"/>
      <c r="D586" s="11"/>
      <c r="E586" s="11"/>
      <c r="F586" s="11"/>
    </row>
    <row r="587" spans="1:6" ht="15.75" customHeight="1">
      <c r="A587" s="10"/>
      <c r="B587" s="11"/>
      <c r="C587" s="11"/>
      <c r="D587" s="11"/>
      <c r="E587" s="11"/>
      <c r="F587" s="11"/>
    </row>
    <row r="588" spans="1:6" ht="15.75" customHeight="1">
      <c r="A588" s="10"/>
      <c r="B588" s="11"/>
      <c r="C588" s="11"/>
      <c r="D588" s="11"/>
      <c r="E588" s="11"/>
      <c r="F588" s="11"/>
    </row>
    <row r="589" spans="1:6" ht="15.75" customHeight="1">
      <c r="A589" s="10"/>
      <c r="B589" s="11"/>
      <c r="C589" s="11"/>
      <c r="D589" s="11"/>
      <c r="E589" s="11"/>
      <c r="F589" s="11"/>
    </row>
    <row r="590" spans="1:6" ht="15.75" customHeight="1">
      <c r="A590" s="10"/>
      <c r="B590" s="11"/>
      <c r="C590" s="11"/>
      <c r="D590" s="11"/>
      <c r="E590" s="11"/>
      <c r="F590" s="11"/>
    </row>
    <row r="591" spans="1:6" ht="15.75" customHeight="1">
      <c r="A591" s="10"/>
      <c r="B591" s="11"/>
      <c r="C591" s="11"/>
      <c r="D591" s="11"/>
      <c r="E591" s="11"/>
      <c r="F591" s="11"/>
    </row>
    <row r="592" spans="1:6" ht="15.75" customHeight="1">
      <c r="A592" s="10"/>
      <c r="B592" s="11"/>
      <c r="C592" s="11"/>
      <c r="D592" s="11"/>
      <c r="E592" s="11"/>
      <c r="F592" s="11"/>
    </row>
    <row r="593" spans="1:6" ht="15.75" customHeight="1">
      <c r="A593" s="10"/>
      <c r="B593" s="11"/>
      <c r="C593" s="11"/>
      <c r="D593" s="11"/>
      <c r="E593" s="11"/>
      <c r="F593" s="11"/>
    </row>
    <row r="594" spans="1:6" ht="15.75" customHeight="1">
      <c r="A594" s="10"/>
      <c r="B594" s="11"/>
      <c r="C594" s="11"/>
      <c r="D594" s="11"/>
      <c r="E594" s="11"/>
      <c r="F594" s="11"/>
    </row>
    <row r="595" spans="1:6" ht="15.75" customHeight="1">
      <c r="A595" s="10"/>
      <c r="B595" s="11"/>
      <c r="C595" s="11"/>
      <c r="D595" s="11"/>
      <c r="E595" s="11"/>
      <c r="F595" s="11"/>
    </row>
    <row r="596" spans="1:6" ht="15.75" customHeight="1">
      <c r="A596" s="10"/>
      <c r="B596" s="11"/>
      <c r="C596" s="11"/>
      <c r="D596" s="11"/>
      <c r="E596" s="11"/>
      <c r="F596" s="11"/>
    </row>
    <row r="597" spans="1:6" ht="15.75" customHeight="1">
      <c r="A597" s="10"/>
      <c r="B597" s="11"/>
      <c r="C597" s="11"/>
      <c r="D597" s="11"/>
      <c r="E597" s="11"/>
      <c r="F597" s="11"/>
    </row>
    <row r="598" spans="1:6" ht="15.75" customHeight="1">
      <c r="A598" s="10"/>
      <c r="B598" s="11"/>
      <c r="C598" s="11"/>
      <c r="D598" s="11"/>
      <c r="E598" s="11"/>
      <c r="F598" s="11"/>
    </row>
    <row r="599" spans="1:6" ht="15.75" customHeight="1">
      <c r="A599" s="10"/>
      <c r="B599" s="11"/>
      <c r="C599" s="11"/>
      <c r="D599" s="11"/>
      <c r="E599" s="11"/>
      <c r="F599" s="11"/>
    </row>
    <row r="600" spans="1:6" ht="15.75" customHeight="1">
      <c r="A600" s="10"/>
      <c r="B600" s="11"/>
      <c r="C600" s="11"/>
      <c r="D600" s="11"/>
      <c r="E600" s="11"/>
      <c r="F600" s="11"/>
    </row>
    <row r="601" spans="1:6" ht="15.75" customHeight="1">
      <c r="A601" s="10"/>
      <c r="B601" s="11"/>
      <c r="C601" s="11"/>
      <c r="D601" s="11"/>
      <c r="E601" s="11"/>
      <c r="F601" s="11"/>
    </row>
    <row r="602" spans="1:6" ht="15.75" customHeight="1">
      <c r="A602" s="10"/>
      <c r="B602" s="11"/>
      <c r="C602" s="11"/>
      <c r="D602" s="11"/>
      <c r="E602" s="11"/>
      <c r="F602" s="11"/>
    </row>
    <row r="603" spans="1:6" ht="15.75" customHeight="1">
      <c r="A603" s="10"/>
      <c r="B603" s="11"/>
      <c r="C603" s="11"/>
      <c r="D603" s="11"/>
      <c r="E603" s="11"/>
      <c r="F603" s="11"/>
    </row>
    <row r="604" spans="1:6" ht="15.75" customHeight="1">
      <c r="A604" s="10"/>
      <c r="B604" s="11"/>
      <c r="C604" s="11"/>
      <c r="D604" s="11"/>
      <c r="E604" s="11"/>
      <c r="F604" s="11"/>
    </row>
    <row r="605" spans="1:6" ht="15.75" customHeight="1">
      <c r="A605" s="10"/>
      <c r="B605" s="11"/>
      <c r="C605" s="11"/>
      <c r="D605" s="11"/>
      <c r="E605" s="11"/>
      <c r="F605" s="11"/>
    </row>
    <row r="606" spans="1:6" ht="15.75" customHeight="1">
      <c r="A606" s="10"/>
      <c r="B606" s="11"/>
      <c r="C606" s="11"/>
      <c r="D606" s="11"/>
      <c r="E606" s="11"/>
      <c r="F606" s="11"/>
    </row>
    <row r="607" spans="1:6" ht="15.75" customHeight="1">
      <c r="A607" s="10"/>
      <c r="B607" s="11"/>
      <c r="C607" s="11"/>
      <c r="D607" s="11"/>
      <c r="E607" s="11"/>
      <c r="F607" s="11"/>
    </row>
    <row r="608" spans="1:6" ht="15.75" customHeight="1">
      <c r="A608" s="10"/>
      <c r="B608" s="11"/>
      <c r="C608" s="11"/>
      <c r="D608" s="11"/>
      <c r="E608" s="11"/>
      <c r="F608" s="11"/>
    </row>
    <row r="609" spans="1:6" ht="15.75" customHeight="1">
      <c r="A609" s="10"/>
      <c r="B609" s="11"/>
      <c r="C609" s="11"/>
      <c r="D609" s="11"/>
      <c r="E609" s="11"/>
      <c r="F609" s="11"/>
    </row>
    <row r="610" spans="1:6" ht="15.75" customHeight="1">
      <c r="A610" s="10"/>
      <c r="B610" s="11"/>
      <c r="C610" s="11"/>
      <c r="D610" s="11"/>
      <c r="E610" s="11"/>
      <c r="F610" s="11"/>
    </row>
    <row r="611" spans="1:6" ht="15.75" customHeight="1">
      <c r="A611" s="10"/>
      <c r="B611" s="11"/>
      <c r="C611" s="11"/>
      <c r="D611" s="11"/>
      <c r="E611" s="11"/>
      <c r="F611" s="11"/>
    </row>
    <row r="612" spans="1:6" ht="15.75" customHeight="1">
      <c r="A612" s="10"/>
      <c r="B612" s="11"/>
      <c r="C612" s="11"/>
      <c r="D612" s="11"/>
      <c r="E612" s="11"/>
      <c r="F612" s="11"/>
    </row>
    <row r="613" spans="1:6" ht="15.75" customHeight="1">
      <c r="A613" s="10"/>
      <c r="B613" s="11"/>
      <c r="C613" s="11"/>
      <c r="D613" s="11"/>
      <c r="E613" s="11"/>
      <c r="F613" s="11"/>
    </row>
    <row r="614" spans="1:6" ht="15.75" customHeight="1">
      <c r="A614" s="10"/>
      <c r="B614" s="11"/>
      <c r="C614" s="11"/>
      <c r="D614" s="11"/>
      <c r="E614" s="11"/>
      <c r="F614" s="11"/>
    </row>
    <row r="615" spans="1:6" ht="15.75" customHeight="1">
      <c r="A615" s="10"/>
      <c r="B615" s="11"/>
      <c r="C615" s="11"/>
      <c r="D615" s="11"/>
      <c r="E615" s="11"/>
      <c r="F615" s="11"/>
    </row>
    <row r="616" spans="1:6" ht="15.75" customHeight="1">
      <c r="A616" s="10"/>
      <c r="B616" s="11"/>
      <c r="C616" s="11"/>
      <c r="D616" s="11"/>
      <c r="E616" s="11"/>
      <c r="F616" s="11"/>
    </row>
    <row r="617" spans="1:6" ht="15.75" customHeight="1">
      <c r="A617" s="10"/>
      <c r="B617" s="11"/>
      <c r="C617" s="11"/>
      <c r="D617" s="11"/>
      <c r="E617" s="11"/>
      <c r="F617" s="11"/>
    </row>
    <row r="618" spans="1:6" ht="15.75" customHeight="1">
      <c r="A618" s="10"/>
      <c r="B618" s="11"/>
      <c r="C618" s="11"/>
      <c r="D618" s="11"/>
      <c r="E618" s="11"/>
      <c r="F618" s="11"/>
    </row>
    <row r="619" spans="1:6" ht="15.75" customHeight="1">
      <c r="A619" s="10"/>
      <c r="B619" s="11"/>
      <c r="C619" s="11"/>
      <c r="D619" s="11"/>
      <c r="E619" s="11"/>
      <c r="F619" s="11"/>
    </row>
    <row r="620" spans="1:6" ht="15.75" customHeight="1">
      <c r="A620" s="10"/>
      <c r="B620" s="11"/>
      <c r="C620" s="11"/>
      <c r="D620" s="11"/>
      <c r="E620" s="11"/>
      <c r="F620" s="11"/>
    </row>
    <row r="621" spans="1:6" ht="15.75" customHeight="1">
      <c r="A621" s="10"/>
      <c r="B621" s="11"/>
      <c r="C621" s="11"/>
      <c r="D621" s="11"/>
      <c r="E621" s="11"/>
      <c r="F621" s="11"/>
    </row>
    <row r="622" spans="1:6" ht="15.75" customHeight="1">
      <c r="A622" s="10"/>
      <c r="B622" s="11"/>
      <c r="C622" s="11"/>
      <c r="D622" s="11"/>
      <c r="E622" s="11"/>
      <c r="F622" s="11"/>
    </row>
    <row r="623" spans="1:6" ht="15.75" customHeight="1">
      <c r="A623" s="10"/>
      <c r="B623" s="11"/>
      <c r="C623" s="11"/>
      <c r="D623" s="11"/>
      <c r="E623" s="11"/>
      <c r="F623" s="11"/>
    </row>
    <row r="624" spans="1:6" ht="15.75" customHeight="1">
      <c r="A624" s="10"/>
      <c r="B624" s="11"/>
      <c r="C624" s="11"/>
      <c r="D624" s="11"/>
      <c r="E624" s="11"/>
      <c r="F624" s="11"/>
    </row>
    <row r="625" spans="1:6" ht="15.75" customHeight="1">
      <c r="A625" s="10"/>
      <c r="B625" s="11"/>
      <c r="C625" s="11"/>
      <c r="D625" s="11"/>
      <c r="E625" s="11"/>
      <c r="F625" s="11"/>
    </row>
    <row r="626" spans="1:6" ht="15.75" customHeight="1">
      <c r="A626" s="10"/>
      <c r="B626" s="11"/>
      <c r="C626" s="11"/>
      <c r="D626" s="11"/>
      <c r="E626" s="11"/>
      <c r="F626" s="11"/>
    </row>
    <row r="627" spans="1:6" ht="15.75" customHeight="1">
      <c r="A627" s="10"/>
      <c r="B627" s="11"/>
      <c r="C627" s="11"/>
      <c r="D627" s="11"/>
      <c r="E627" s="11"/>
      <c r="F627" s="11"/>
    </row>
    <row r="628" spans="1:6" ht="15.75" customHeight="1">
      <c r="A628" s="10"/>
      <c r="B628" s="11"/>
      <c r="C628" s="11"/>
      <c r="D628" s="11"/>
      <c r="E628" s="11"/>
      <c r="F628" s="11"/>
    </row>
    <row r="629" spans="1:6" ht="15.75" customHeight="1">
      <c r="A629" s="10"/>
      <c r="B629" s="11"/>
      <c r="C629" s="11"/>
      <c r="D629" s="11"/>
      <c r="E629" s="11"/>
      <c r="F629" s="11"/>
    </row>
    <row r="630" spans="1:6" ht="15.75" customHeight="1">
      <c r="A630" s="10"/>
      <c r="B630" s="11"/>
      <c r="C630" s="11"/>
      <c r="D630" s="11"/>
      <c r="E630" s="11"/>
      <c r="F630" s="11"/>
    </row>
    <row r="631" spans="1:6" ht="15.75" customHeight="1">
      <c r="A631" s="10"/>
      <c r="B631" s="11"/>
      <c r="C631" s="11"/>
      <c r="D631" s="11"/>
      <c r="E631" s="11"/>
      <c r="F631" s="11"/>
    </row>
    <row r="632" spans="1:6" ht="15.75" customHeight="1">
      <c r="A632" s="10"/>
      <c r="B632" s="11"/>
      <c r="C632" s="11"/>
      <c r="D632" s="11"/>
      <c r="E632" s="11"/>
      <c r="F632" s="11"/>
    </row>
    <row r="633" spans="1:6" ht="15.75" customHeight="1">
      <c r="A633" s="10"/>
      <c r="B633" s="11"/>
      <c r="C633" s="11"/>
      <c r="D633" s="11"/>
      <c r="E633" s="11"/>
      <c r="F633" s="11"/>
    </row>
    <row r="634" spans="1:6" ht="15.75" customHeight="1">
      <c r="A634" s="10"/>
      <c r="B634" s="11"/>
      <c r="C634" s="11"/>
      <c r="D634" s="11"/>
      <c r="E634" s="11"/>
      <c r="F634" s="11"/>
    </row>
    <row r="635" spans="1:6" ht="15.75" customHeight="1">
      <c r="A635" s="10"/>
      <c r="B635" s="11"/>
      <c r="C635" s="11"/>
      <c r="D635" s="11"/>
      <c r="E635" s="11"/>
      <c r="F635" s="11"/>
    </row>
    <row r="636" spans="1:6" ht="15.75" customHeight="1">
      <c r="A636" s="10"/>
      <c r="B636" s="11"/>
      <c r="C636" s="11"/>
      <c r="D636" s="11"/>
      <c r="E636" s="11"/>
      <c r="F636" s="11"/>
    </row>
    <row r="637" spans="1:6" ht="15.75" customHeight="1">
      <c r="A637" s="10"/>
      <c r="B637" s="11"/>
      <c r="C637" s="11"/>
      <c r="D637" s="11"/>
      <c r="E637" s="11"/>
      <c r="F637" s="11"/>
    </row>
    <row r="638" spans="1:6" ht="15.75" customHeight="1">
      <c r="A638" s="10"/>
      <c r="B638" s="11"/>
      <c r="C638" s="11"/>
      <c r="D638" s="11"/>
      <c r="E638" s="11"/>
      <c r="F638" s="11"/>
    </row>
    <row r="639" spans="1:6" ht="15.75" customHeight="1">
      <c r="A639" s="10"/>
      <c r="B639" s="11"/>
      <c r="C639" s="11"/>
      <c r="D639" s="11"/>
      <c r="E639" s="11"/>
      <c r="F639" s="11"/>
    </row>
    <row r="640" spans="1:6" ht="15.75" customHeight="1">
      <c r="A640" s="10"/>
      <c r="B640" s="11"/>
      <c r="C640" s="11"/>
      <c r="D640" s="11"/>
      <c r="E640" s="11"/>
      <c r="F640" s="11"/>
    </row>
    <row r="641" spans="1:6" ht="15.75" customHeight="1">
      <c r="A641" s="10"/>
      <c r="B641" s="11"/>
      <c r="C641" s="11"/>
      <c r="D641" s="11"/>
      <c r="E641" s="11"/>
      <c r="F641" s="11"/>
    </row>
    <row r="642" spans="1:6" ht="15.75" customHeight="1">
      <c r="A642" s="10"/>
      <c r="B642" s="11"/>
      <c r="C642" s="11"/>
      <c r="D642" s="11"/>
      <c r="E642" s="11"/>
      <c r="F642" s="11"/>
    </row>
    <row r="643" spans="1:6" ht="15.75" customHeight="1">
      <c r="A643" s="10"/>
      <c r="B643" s="11"/>
      <c r="C643" s="11"/>
      <c r="D643" s="11"/>
      <c r="E643" s="11"/>
      <c r="F643" s="11"/>
    </row>
    <row r="644" spans="1:6" ht="15.75" customHeight="1">
      <c r="A644" s="10"/>
      <c r="B644" s="11"/>
      <c r="C644" s="11"/>
      <c r="D644" s="11"/>
      <c r="E644" s="11"/>
      <c r="F644" s="11"/>
    </row>
    <row r="645" spans="1:6" ht="15.75" customHeight="1">
      <c r="A645" s="10"/>
      <c r="B645" s="11"/>
      <c r="C645" s="11"/>
      <c r="D645" s="11"/>
      <c r="E645" s="11"/>
      <c r="F645" s="11"/>
    </row>
    <row r="646" spans="1:6" ht="15.75" customHeight="1">
      <c r="A646" s="10"/>
      <c r="B646" s="11"/>
      <c r="C646" s="11"/>
      <c r="D646" s="11"/>
      <c r="E646" s="11"/>
      <c r="F646" s="11"/>
    </row>
    <row r="647" spans="1:6" ht="15.75" customHeight="1">
      <c r="A647" s="10"/>
      <c r="B647" s="11"/>
      <c r="C647" s="11"/>
      <c r="D647" s="11"/>
      <c r="E647" s="11"/>
      <c r="F647" s="11"/>
    </row>
    <row r="648" spans="1:6" ht="15.75" customHeight="1">
      <c r="A648" s="10"/>
      <c r="B648" s="11"/>
      <c r="C648" s="11"/>
      <c r="D648" s="11"/>
      <c r="E648" s="11"/>
      <c r="F648" s="11"/>
    </row>
    <row r="649" spans="1:6" ht="15.75" customHeight="1">
      <c r="A649" s="10"/>
      <c r="B649" s="11"/>
      <c r="C649" s="11"/>
      <c r="D649" s="11"/>
      <c r="E649" s="11"/>
      <c r="F649" s="11"/>
    </row>
    <row r="650" spans="1:6" ht="15.75" customHeight="1">
      <c r="A650" s="10"/>
      <c r="B650" s="11"/>
      <c r="C650" s="11"/>
      <c r="D650" s="11"/>
      <c r="E650" s="11"/>
      <c r="F650" s="11"/>
    </row>
    <row r="651" spans="1:6" ht="15.75" customHeight="1">
      <c r="A651" s="10"/>
      <c r="B651" s="11"/>
      <c r="C651" s="11"/>
      <c r="D651" s="11"/>
      <c r="E651" s="11"/>
      <c r="F651" s="11"/>
    </row>
    <row r="652" spans="1:6" ht="15.75" customHeight="1">
      <c r="A652" s="10"/>
      <c r="B652" s="11"/>
      <c r="C652" s="11"/>
      <c r="D652" s="11"/>
      <c r="E652" s="11"/>
      <c r="F652" s="11"/>
    </row>
    <row r="653" spans="1:6" ht="15.75" customHeight="1">
      <c r="A653" s="10"/>
      <c r="B653" s="11"/>
      <c r="C653" s="11"/>
      <c r="D653" s="11"/>
      <c r="E653" s="11"/>
      <c r="F653" s="11"/>
    </row>
    <row r="654" spans="1:6" ht="15.75" customHeight="1">
      <c r="A654" s="10"/>
      <c r="B654" s="11"/>
      <c r="C654" s="11"/>
      <c r="D654" s="11"/>
      <c r="E654" s="11"/>
      <c r="F654" s="11"/>
    </row>
    <row r="655" spans="1:6" ht="15.75" customHeight="1">
      <c r="A655" s="10"/>
      <c r="B655" s="11"/>
      <c r="C655" s="11"/>
      <c r="D655" s="11"/>
      <c r="E655" s="11"/>
      <c r="F655" s="11"/>
    </row>
    <row r="656" spans="1:6" ht="15.75" customHeight="1">
      <c r="A656" s="10"/>
      <c r="B656" s="11"/>
      <c r="C656" s="11"/>
      <c r="D656" s="11"/>
      <c r="E656" s="11"/>
      <c r="F656" s="11"/>
    </row>
    <row r="657" spans="1:6" ht="15.75" customHeight="1">
      <c r="A657" s="10"/>
      <c r="B657" s="11"/>
      <c r="C657" s="11"/>
      <c r="D657" s="11"/>
      <c r="E657" s="11"/>
      <c r="F657" s="11"/>
    </row>
    <row r="658" spans="1:6" ht="15.75" customHeight="1">
      <c r="A658" s="10"/>
      <c r="B658" s="11"/>
      <c r="C658" s="11"/>
      <c r="D658" s="11"/>
      <c r="E658" s="11"/>
      <c r="F658" s="11"/>
    </row>
    <row r="659" spans="1:6" ht="15.75" customHeight="1">
      <c r="A659" s="10"/>
      <c r="B659" s="11"/>
      <c r="C659" s="11"/>
      <c r="D659" s="11"/>
      <c r="E659" s="11"/>
      <c r="F659" s="11"/>
    </row>
    <row r="660" spans="1:6" ht="15.75" customHeight="1">
      <c r="A660" s="10"/>
      <c r="B660" s="11"/>
      <c r="C660" s="11"/>
      <c r="D660" s="11"/>
      <c r="E660" s="11"/>
      <c r="F660" s="11"/>
    </row>
    <row r="661" spans="1:6" ht="15.75" customHeight="1">
      <c r="A661" s="10"/>
      <c r="B661" s="11"/>
      <c r="C661" s="11"/>
      <c r="D661" s="11"/>
      <c r="E661" s="11"/>
      <c r="F661" s="11"/>
    </row>
    <row r="662" spans="1:6" ht="15.75" customHeight="1">
      <c r="A662" s="10"/>
      <c r="B662" s="11"/>
      <c r="C662" s="11"/>
      <c r="D662" s="11"/>
      <c r="E662" s="11"/>
      <c r="F662" s="11"/>
    </row>
    <row r="663" spans="1:6" ht="15.75" customHeight="1">
      <c r="A663" s="10"/>
      <c r="B663" s="11"/>
      <c r="C663" s="11"/>
      <c r="D663" s="11"/>
      <c r="E663" s="11"/>
      <c r="F663" s="11"/>
    </row>
    <row r="664" spans="1:6" ht="15.75" customHeight="1">
      <c r="A664" s="10"/>
      <c r="B664" s="11"/>
      <c r="C664" s="11"/>
      <c r="D664" s="11"/>
      <c r="E664" s="11"/>
      <c r="F664" s="11"/>
    </row>
    <row r="665" spans="1:6" ht="15.75" customHeight="1">
      <c r="A665" s="10"/>
      <c r="B665" s="11"/>
      <c r="C665" s="11"/>
      <c r="D665" s="11"/>
      <c r="E665" s="11"/>
      <c r="F665" s="11"/>
    </row>
    <row r="666" spans="1:6" ht="15.75" customHeight="1">
      <c r="A666" s="10"/>
      <c r="B666" s="11"/>
      <c r="C666" s="11"/>
      <c r="D666" s="11"/>
      <c r="E666" s="11"/>
      <c r="F666" s="11"/>
    </row>
    <row r="667" spans="1:6" ht="15.75" customHeight="1">
      <c r="A667" s="10"/>
      <c r="B667" s="11"/>
      <c r="C667" s="11"/>
      <c r="D667" s="11"/>
      <c r="E667" s="11"/>
      <c r="F667" s="11"/>
    </row>
    <row r="668" spans="1:6" ht="15.75" customHeight="1">
      <c r="A668" s="10"/>
      <c r="B668" s="11"/>
      <c r="C668" s="11"/>
      <c r="D668" s="11"/>
      <c r="E668" s="11"/>
      <c r="F668" s="11"/>
    </row>
    <row r="669" spans="1:6" ht="15.75" customHeight="1">
      <c r="A669" s="10"/>
      <c r="B669" s="11"/>
      <c r="C669" s="11"/>
      <c r="D669" s="11"/>
      <c r="E669" s="11"/>
      <c r="F669" s="11"/>
    </row>
    <row r="670" spans="1:6" ht="15.75" customHeight="1">
      <c r="A670" s="10"/>
      <c r="B670" s="11"/>
      <c r="C670" s="11"/>
      <c r="D670" s="11"/>
      <c r="E670" s="11"/>
      <c r="F670" s="11"/>
    </row>
    <row r="671" spans="1:6" ht="15.75" customHeight="1">
      <c r="A671" s="10"/>
      <c r="B671" s="11"/>
      <c r="C671" s="11"/>
      <c r="D671" s="11"/>
      <c r="E671" s="11"/>
      <c r="F671" s="11"/>
    </row>
    <row r="672" spans="1:6" ht="15.75" customHeight="1">
      <c r="A672" s="10"/>
      <c r="B672" s="11"/>
      <c r="C672" s="11"/>
      <c r="D672" s="11"/>
      <c r="E672" s="11"/>
      <c r="F672" s="11"/>
    </row>
    <row r="673" spans="1:6" ht="15.75" customHeight="1">
      <c r="A673" s="10"/>
      <c r="B673" s="11"/>
      <c r="C673" s="11"/>
      <c r="D673" s="11"/>
      <c r="E673" s="11"/>
      <c r="F673" s="11"/>
    </row>
    <row r="674" spans="1:6" ht="15.75" customHeight="1">
      <c r="A674" s="10"/>
      <c r="B674" s="11"/>
      <c r="C674" s="11"/>
      <c r="D674" s="11"/>
      <c r="E674" s="11"/>
      <c r="F674" s="11"/>
    </row>
    <row r="675" spans="1:6" ht="15.75" customHeight="1">
      <c r="A675" s="10"/>
      <c r="B675" s="11"/>
      <c r="C675" s="11"/>
      <c r="D675" s="11"/>
      <c r="E675" s="11"/>
      <c r="F675" s="11"/>
    </row>
    <row r="676" spans="1:6" ht="15.75" customHeight="1">
      <c r="A676" s="10"/>
      <c r="B676" s="11"/>
      <c r="C676" s="11"/>
      <c r="D676" s="11"/>
      <c r="E676" s="11"/>
      <c r="F676" s="11"/>
    </row>
    <row r="677" spans="1:6" ht="15.75" customHeight="1">
      <c r="A677" s="10"/>
      <c r="B677" s="11"/>
      <c r="C677" s="11"/>
      <c r="D677" s="11"/>
      <c r="E677" s="11"/>
      <c r="F677" s="11"/>
    </row>
    <row r="678" spans="1:6" ht="15.75" customHeight="1">
      <c r="A678" s="10"/>
      <c r="B678" s="11"/>
      <c r="C678" s="11"/>
      <c r="D678" s="11"/>
      <c r="E678" s="11"/>
      <c r="F678" s="11"/>
    </row>
    <row r="679" spans="1:6" ht="15.75" customHeight="1">
      <c r="A679" s="10"/>
      <c r="B679" s="11"/>
      <c r="C679" s="11"/>
      <c r="D679" s="11"/>
      <c r="E679" s="11"/>
      <c r="F679" s="11"/>
    </row>
    <row r="680" spans="1:6" ht="15.75" customHeight="1">
      <c r="A680" s="10"/>
      <c r="B680" s="11"/>
      <c r="C680" s="11"/>
      <c r="D680" s="11"/>
      <c r="E680" s="11"/>
      <c r="F680" s="11"/>
    </row>
    <row r="681" spans="1:6" ht="15.75" customHeight="1">
      <c r="A681" s="10"/>
      <c r="B681" s="11"/>
      <c r="C681" s="11"/>
      <c r="D681" s="11"/>
      <c r="E681" s="11"/>
      <c r="F681" s="11"/>
    </row>
    <row r="682" spans="1:6" ht="15.75" customHeight="1">
      <c r="A682" s="10"/>
      <c r="B682" s="11"/>
      <c r="C682" s="11"/>
      <c r="D682" s="11"/>
      <c r="E682" s="11"/>
      <c r="F682" s="11"/>
    </row>
    <row r="683" spans="1:6" ht="15.75" customHeight="1">
      <c r="A683" s="10"/>
      <c r="B683" s="11"/>
      <c r="C683" s="11"/>
      <c r="D683" s="11"/>
      <c r="E683" s="11"/>
      <c r="F683" s="11"/>
    </row>
    <row r="684" spans="1:6" ht="15.75" customHeight="1">
      <c r="A684" s="10"/>
      <c r="B684" s="11"/>
      <c r="C684" s="11"/>
      <c r="D684" s="11"/>
      <c r="E684" s="11"/>
      <c r="F684" s="11"/>
    </row>
    <row r="685" spans="1:6" ht="15.75" customHeight="1">
      <c r="A685" s="10"/>
      <c r="B685" s="11"/>
      <c r="C685" s="11"/>
      <c r="D685" s="11"/>
      <c r="E685" s="11"/>
      <c r="F685" s="11"/>
    </row>
    <row r="686" spans="1:6" ht="15.75" customHeight="1">
      <c r="A686" s="10"/>
      <c r="B686" s="11"/>
      <c r="C686" s="11"/>
      <c r="D686" s="11"/>
      <c r="E686" s="11"/>
      <c r="F686" s="11"/>
    </row>
    <row r="687" spans="1:6" ht="15.75" customHeight="1">
      <c r="A687" s="10"/>
      <c r="B687" s="11"/>
      <c r="C687" s="11"/>
      <c r="D687" s="11"/>
      <c r="E687" s="11"/>
      <c r="F687" s="11"/>
    </row>
    <row r="688" spans="1:6" ht="15.75" customHeight="1">
      <c r="A688" s="10"/>
      <c r="B688" s="11"/>
      <c r="C688" s="11"/>
      <c r="D688" s="11"/>
      <c r="E688" s="11"/>
      <c r="F688" s="11"/>
    </row>
    <row r="689" spans="1:6" ht="15.75" customHeight="1">
      <c r="A689" s="10"/>
      <c r="B689" s="11"/>
      <c r="C689" s="11"/>
      <c r="D689" s="11"/>
      <c r="E689" s="11"/>
      <c r="F689" s="11"/>
    </row>
    <row r="690" spans="1:6" ht="15.75" customHeight="1">
      <c r="A690" s="10"/>
      <c r="B690" s="11"/>
      <c r="C690" s="11"/>
      <c r="D690" s="11"/>
      <c r="E690" s="11"/>
      <c r="F690" s="11"/>
    </row>
    <row r="691" spans="1:6" ht="15.75" customHeight="1">
      <c r="A691" s="10"/>
      <c r="B691" s="11"/>
      <c r="C691" s="11"/>
      <c r="D691" s="11"/>
      <c r="E691" s="11"/>
      <c r="F691" s="11"/>
    </row>
    <row r="692" spans="1:6" ht="15.75" customHeight="1">
      <c r="A692" s="10"/>
      <c r="B692" s="11"/>
      <c r="C692" s="11"/>
      <c r="D692" s="11"/>
      <c r="E692" s="11"/>
      <c r="F692" s="11"/>
    </row>
    <row r="693" spans="1:6" ht="15.75" customHeight="1">
      <c r="A693" s="10"/>
      <c r="B693" s="11"/>
      <c r="C693" s="11"/>
      <c r="D693" s="11"/>
      <c r="E693" s="11"/>
      <c r="F693" s="11"/>
    </row>
    <row r="694" spans="1:6" ht="15.75" customHeight="1">
      <c r="A694" s="10"/>
      <c r="B694" s="11"/>
      <c r="C694" s="11"/>
      <c r="D694" s="11"/>
      <c r="E694" s="11"/>
      <c r="F694" s="11"/>
    </row>
    <row r="695" spans="1:6" ht="15.75" customHeight="1">
      <c r="A695" s="10"/>
      <c r="B695" s="11"/>
      <c r="C695" s="11"/>
      <c r="D695" s="11"/>
      <c r="E695" s="11"/>
      <c r="F695" s="11"/>
    </row>
    <row r="696" spans="1:6" ht="15.75" customHeight="1">
      <c r="A696" s="10"/>
      <c r="B696" s="11"/>
      <c r="C696" s="11"/>
      <c r="D696" s="11"/>
      <c r="E696" s="11"/>
      <c r="F696" s="11"/>
    </row>
    <row r="697" spans="1:6" ht="15.75" customHeight="1">
      <c r="A697" s="10"/>
      <c r="B697" s="11"/>
      <c r="C697" s="11"/>
      <c r="D697" s="11"/>
      <c r="E697" s="11"/>
      <c r="F697" s="11"/>
    </row>
    <row r="698" spans="1:6" ht="15.75" customHeight="1">
      <c r="A698" s="10"/>
      <c r="B698" s="11"/>
      <c r="C698" s="11"/>
      <c r="D698" s="11"/>
      <c r="E698" s="11"/>
      <c r="F698" s="11"/>
    </row>
    <row r="699" spans="1:6" ht="15.75" customHeight="1">
      <c r="A699" s="10"/>
      <c r="B699" s="11"/>
      <c r="C699" s="11"/>
      <c r="D699" s="11"/>
      <c r="E699" s="11"/>
      <c r="F699" s="11"/>
    </row>
    <row r="700" spans="1:6" ht="15.75" customHeight="1">
      <c r="A700" s="10"/>
      <c r="B700" s="11"/>
      <c r="C700" s="11"/>
      <c r="D700" s="11"/>
      <c r="E700" s="11"/>
      <c r="F700" s="11"/>
    </row>
    <row r="701" spans="1:6" ht="15.75" customHeight="1">
      <c r="A701" s="10"/>
      <c r="B701" s="11"/>
      <c r="C701" s="11"/>
      <c r="D701" s="11"/>
      <c r="E701" s="11"/>
      <c r="F701" s="11"/>
    </row>
    <row r="702" spans="1:6" ht="15.75" customHeight="1">
      <c r="A702" s="10"/>
      <c r="B702" s="11"/>
      <c r="C702" s="11"/>
      <c r="D702" s="11"/>
      <c r="E702" s="11"/>
      <c r="F702" s="11"/>
    </row>
    <row r="703" spans="1:6" ht="15.75" customHeight="1">
      <c r="A703" s="10"/>
      <c r="B703" s="11"/>
      <c r="C703" s="11"/>
      <c r="D703" s="11"/>
      <c r="E703" s="11"/>
      <c r="F703" s="11"/>
    </row>
    <row r="704" spans="1:6" ht="15.75" customHeight="1">
      <c r="A704" s="10"/>
      <c r="B704" s="11"/>
      <c r="C704" s="11"/>
      <c r="D704" s="11"/>
      <c r="E704" s="11"/>
      <c r="F704" s="11"/>
    </row>
    <row r="705" spans="1:6" ht="15.75" customHeight="1">
      <c r="A705" s="10"/>
      <c r="B705" s="11"/>
      <c r="C705" s="11"/>
      <c r="D705" s="11"/>
      <c r="E705" s="11"/>
      <c r="F705" s="11"/>
    </row>
    <row r="706" spans="1:6" ht="15.75" customHeight="1">
      <c r="A706" s="10"/>
      <c r="B706" s="11"/>
      <c r="C706" s="11"/>
      <c r="D706" s="11"/>
      <c r="E706" s="11"/>
      <c r="F706" s="11"/>
    </row>
    <row r="707" spans="1:6" ht="15.75" customHeight="1">
      <c r="A707" s="10"/>
      <c r="B707" s="11"/>
      <c r="C707" s="11"/>
      <c r="D707" s="11"/>
      <c r="E707" s="11"/>
      <c r="F707" s="11"/>
    </row>
    <row r="708" spans="1:6" ht="15.75" customHeight="1">
      <c r="A708" s="10"/>
      <c r="B708" s="11"/>
      <c r="C708" s="11"/>
      <c r="D708" s="11"/>
      <c r="E708" s="11"/>
      <c r="F708" s="11"/>
    </row>
    <row r="709" spans="1:6" ht="15.75" customHeight="1">
      <c r="A709" s="10"/>
      <c r="B709" s="11"/>
      <c r="C709" s="11"/>
      <c r="D709" s="11"/>
      <c r="E709" s="11"/>
      <c r="F709" s="11"/>
    </row>
    <row r="710" spans="1:6" ht="15.75" customHeight="1">
      <c r="A710" s="10"/>
      <c r="B710" s="11"/>
      <c r="C710" s="11"/>
      <c r="D710" s="11"/>
      <c r="E710" s="11"/>
      <c r="F710" s="11"/>
    </row>
    <row r="711" spans="1:6" ht="15.75" customHeight="1">
      <c r="A711" s="10"/>
      <c r="B711" s="11"/>
      <c r="C711" s="11"/>
      <c r="D711" s="11"/>
      <c r="E711" s="11"/>
      <c r="F711" s="11"/>
    </row>
    <row r="712" spans="1:6" ht="15.75" customHeight="1">
      <c r="A712" s="10"/>
      <c r="B712" s="11"/>
      <c r="C712" s="11"/>
      <c r="D712" s="11"/>
      <c r="E712" s="11"/>
      <c r="F712" s="11"/>
    </row>
    <row r="713" spans="1:6" ht="15.75" customHeight="1">
      <c r="A713" s="10"/>
      <c r="B713" s="11"/>
      <c r="C713" s="11"/>
      <c r="D713" s="11"/>
      <c r="E713" s="11"/>
      <c r="F713" s="11"/>
    </row>
    <row r="714" spans="1:6" ht="15.75" customHeight="1">
      <c r="A714" s="10"/>
      <c r="B714" s="11"/>
      <c r="C714" s="11"/>
      <c r="D714" s="11"/>
      <c r="E714" s="11"/>
      <c r="F714" s="11"/>
    </row>
    <row r="715" spans="1:6" ht="15.75" customHeight="1">
      <c r="A715" s="10"/>
      <c r="B715" s="11"/>
      <c r="C715" s="11"/>
      <c r="D715" s="11"/>
      <c r="E715" s="11"/>
      <c r="F715" s="11"/>
    </row>
    <row r="716" spans="1:6" ht="15.75" customHeight="1">
      <c r="A716" s="10"/>
      <c r="B716" s="11"/>
      <c r="C716" s="11"/>
      <c r="D716" s="11"/>
      <c r="E716" s="11"/>
      <c r="F716" s="11"/>
    </row>
    <row r="717" spans="1:6" ht="15.75" customHeight="1">
      <c r="A717" s="10"/>
      <c r="B717" s="11"/>
      <c r="C717" s="11"/>
      <c r="D717" s="11"/>
      <c r="E717" s="11"/>
      <c r="F717" s="11"/>
    </row>
    <row r="718" spans="1:6" ht="15.75" customHeight="1">
      <c r="A718" s="10"/>
      <c r="B718" s="11"/>
      <c r="C718" s="11"/>
      <c r="D718" s="11"/>
      <c r="E718" s="11"/>
      <c r="F718" s="11"/>
    </row>
    <row r="719" spans="1:6" ht="15.75" customHeight="1">
      <c r="A719" s="10"/>
      <c r="B719" s="11"/>
      <c r="C719" s="11"/>
      <c r="D719" s="11"/>
      <c r="E719" s="11"/>
      <c r="F719" s="11"/>
    </row>
    <row r="720" spans="1:6" ht="15.75" customHeight="1">
      <c r="A720" s="10"/>
      <c r="B720" s="11"/>
      <c r="C720" s="11"/>
      <c r="D720" s="11"/>
      <c r="E720" s="11"/>
      <c r="F720" s="11"/>
    </row>
    <row r="721" spans="1:6" ht="15.75" customHeight="1">
      <c r="A721" s="10"/>
      <c r="B721" s="11"/>
      <c r="C721" s="11"/>
      <c r="D721" s="11"/>
      <c r="E721" s="11"/>
      <c r="F721" s="11"/>
    </row>
    <row r="722" spans="1:6" ht="15.75" customHeight="1">
      <c r="A722" s="10"/>
      <c r="B722" s="11"/>
      <c r="C722" s="11"/>
      <c r="D722" s="11"/>
      <c r="E722" s="11"/>
      <c r="F722" s="11"/>
    </row>
    <row r="723" spans="1:6" ht="15.75" customHeight="1">
      <c r="A723" s="10"/>
      <c r="B723" s="11"/>
      <c r="C723" s="11"/>
      <c r="D723" s="11"/>
      <c r="E723" s="11"/>
      <c r="F723" s="11"/>
    </row>
    <row r="724" spans="1:6" ht="15.75" customHeight="1">
      <c r="A724" s="10"/>
      <c r="B724" s="11"/>
      <c r="C724" s="11"/>
      <c r="D724" s="11"/>
      <c r="E724" s="11"/>
      <c r="F724" s="11"/>
    </row>
    <row r="725" spans="1:6" ht="15.75" customHeight="1">
      <c r="A725" s="10"/>
      <c r="B725" s="11"/>
      <c r="C725" s="11"/>
      <c r="D725" s="11"/>
      <c r="E725" s="11"/>
      <c r="F725" s="11"/>
    </row>
    <row r="726" spans="1:6" ht="15.75" customHeight="1">
      <c r="A726" s="10"/>
      <c r="B726" s="11"/>
      <c r="C726" s="11"/>
      <c r="D726" s="11"/>
      <c r="E726" s="11"/>
      <c r="F726" s="11"/>
    </row>
    <row r="727" spans="1:6" ht="15.75" customHeight="1">
      <c r="A727" s="10"/>
      <c r="B727" s="11"/>
      <c r="C727" s="11"/>
      <c r="D727" s="11"/>
      <c r="E727" s="11"/>
      <c r="F727" s="11"/>
    </row>
    <row r="728" spans="1:6" ht="15.75" customHeight="1">
      <c r="A728" s="10"/>
      <c r="B728" s="11"/>
      <c r="C728" s="11"/>
      <c r="D728" s="11"/>
      <c r="E728" s="11"/>
      <c r="F728" s="11"/>
    </row>
    <row r="729" spans="1:6" ht="15.75" customHeight="1">
      <c r="A729" s="10"/>
      <c r="B729" s="11"/>
      <c r="C729" s="11"/>
      <c r="D729" s="11"/>
      <c r="E729" s="11"/>
      <c r="F729" s="11"/>
    </row>
    <row r="730" spans="1:6" ht="15.75" customHeight="1">
      <c r="A730" s="10"/>
      <c r="B730" s="11"/>
      <c r="C730" s="11"/>
      <c r="D730" s="11"/>
      <c r="E730" s="11"/>
      <c r="F730" s="11"/>
    </row>
    <row r="731" spans="1:6" ht="15.75" customHeight="1">
      <c r="A731" s="10"/>
      <c r="B731" s="11"/>
      <c r="C731" s="11"/>
      <c r="D731" s="11"/>
      <c r="E731" s="11"/>
      <c r="F731" s="11"/>
    </row>
    <row r="732" spans="1:6" ht="15.75" customHeight="1">
      <c r="A732" s="10"/>
      <c r="B732" s="11"/>
      <c r="C732" s="11"/>
      <c r="D732" s="11"/>
      <c r="E732" s="11"/>
      <c r="F732" s="11"/>
    </row>
    <row r="733" spans="1:6" ht="15.75" customHeight="1">
      <c r="A733" s="10"/>
      <c r="B733" s="11"/>
      <c r="C733" s="11"/>
      <c r="D733" s="11"/>
      <c r="E733" s="11"/>
      <c r="F733" s="11"/>
    </row>
    <row r="734" spans="1:6" ht="15.75" customHeight="1">
      <c r="A734" s="10"/>
      <c r="B734" s="11"/>
      <c r="C734" s="11"/>
      <c r="D734" s="11"/>
      <c r="E734" s="11"/>
      <c r="F734" s="11"/>
    </row>
    <row r="735" spans="1:6" ht="15.75" customHeight="1">
      <c r="A735" s="10"/>
      <c r="B735" s="11"/>
      <c r="C735" s="11"/>
      <c r="D735" s="11"/>
      <c r="E735" s="11"/>
      <c r="F735" s="11"/>
    </row>
    <row r="736" spans="1:6" ht="15.75" customHeight="1">
      <c r="A736" s="10"/>
      <c r="B736" s="11"/>
      <c r="C736" s="11"/>
      <c r="D736" s="11"/>
      <c r="E736" s="11"/>
      <c r="F736" s="11"/>
    </row>
    <row r="737" spans="1:6" ht="15.75" customHeight="1">
      <c r="A737" s="10"/>
      <c r="B737" s="11"/>
      <c r="C737" s="11"/>
      <c r="D737" s="11"/>
      <c r="E737" s="11"/>
      <c r="F737" s="11"/>
    </row>
    <row r="738" spans="1:6" ht="15.75" customHeight="1">
      <c r="A738" s="10"/>
      <c r="B738" s="11"/>
      <c r="C738" s="11"/>
      <c r="D738" s="11"/>
      <c r="E738" s="11"/>
      <c r="F738" s="11"/>
    </row>
    <row r="739" spans="1:6" ht="15.75" customHeight="1">
      <c r="A739" s="10"/>
      <c r="B739" s="11"/>
      <c r="C739" s="11"/>
      <c r="D739" s="11"/>
      <c r="E739" s="11"/>
      <c r="F739" s="11"/>
    </row>
    <row r="740" spans="1:6" ht="15.75" customHeight="1">
      <c r="A740" s="10"/>
      <c r="B740" s="11"/>
      <c r="C740" s="11"/>
      <c r="D740" s="11"/>
      <c r="E740" s="11"/>
      <c r="F740" s="11"/>
    </row>
    <row r="741" spans="1:6" ht="15.75" customHeight="1">
      <c r="A741" s="10"/>
      <c r="B741" s="11"/>
      <c r="C741" s="11"/>
      <c r="D741" s="11"/>
      <c r="E741" s="11"/>
      <c r="F741" s="11"/>
    </row>
    <row r="742" spans="1:6" ht="15.75" customHeight="1">
      <c r="A742" s="10"/>
      <c r="B742" s="11"/>
      <c r="C742" s="11"/>
      <c r="D742" s="11"/>
      <c r="E742" s="11"/>
      <c r="F742" s="11"/>
    </row>
    <row r="743" spans="1:6" ht="15.75" customHeight="1">
      <c r="A743" s="10"/>
      <c r="B743" s="11"/>
      <c r="C743" s="11"/>
      <c r="D743" s="11"/>
      <c r="E743" s="11"/>
      <c r="F743" s="11"/>
    </row>
    <row r="744" spans="1:6" ht="15.75" customHeight="1">
      <c r="A744" s="10"/>
      <c r="B744" s="11"/>
      <c r="C744" s="11"/>
      <c r="D744" s="11"/>
      <c r="E744" s="11"/>
      <c r="F744" s="11"/>
    </row>
    <row r="745" spans="1:6" ht="15.75" customHeight="1">
      <c r="A745" s="10"/>
      <c r="B745" s="11"/>
      <c r="C745" s="11"/>
      <c r="D745" s="11"/>
      <c r="E745" s="11"/>
      <c r="F745" s="11"/>
    </row>
    <row r="746" spans="1:6" ht="15.75" customHeight="1">
      <c r="A746" s="10"/>
      <c r="B746" s="11"/>
      <c r="C746" s="11"/>
      <c r="D746" s="11"/>
      <c r="E746" s="11"/>
      <c r="F746" s="11"/>
    </row>
    <row r="747" spans="1:6" ht="15.75" customHeight="1">
      <c r="A747" s="10"/>
      <c r="B747" s="11"/>
      <c r="C747" s="11"/>
      <c r="D747" s="11"/>
      <c r="E747" s="11"/>
      <c r="F747" s="11"/>
    </row>
    <row r="748" spans="1:6" ht="15.75" customHeight="1">
      <c r="A748" s="10"/>
      <c r="B748" s="11"/>
      <c r="C748" s="11"/>
      <c r="D748" s="11"/>
      <c r="E748" s="11"/>
      <c r="F748" s="11"/>
    </row>
    <row r="749" spans="1:6" ht="15.75" customHeight="1">
      <c r="A749" s="10"/>
      <c r="B749" s="11"/>
      <c r="C749" s="11"/>
      <c r="D749" s="11"/>
      <c r="E749" s="11"/>
      <c r="F749" s="11"/>
    </row>
    <row r="750" spans="1:6" ht="15.75" customHeight="1">
      <c r="A750" s="10"/>
      <c r="B750" s="11"/>
      <c r="C750" s="11"/>
      <c r="D750" s="11"/>
      <c r="E750" s="11"/>
      <c r="F750" s="11"/>
    </row>
    <row r="751" spans="1:6" ht="15.75" customHeight="1">
      <c r="A751" s="10"/>
      <c r="B751" s="11"/>
      <c r="C751" s="11"/>
      <c r="D751" s="11"/>
      <c r="E751" s="11"/>
      <c r="F751" s="11"/>
    </row>
    <row r="752" spans="1:6" ht="15.75" customHeight="1">
      <c r="A752" s="10"/>
      <c r="B752" s="11"/>
      <c r="C752" s="11"/>
      <c r="D752" s="11"/>
      <c r="E752" s="11"/>
      <c r="F752" s="11"/>
    </row>
    <row r="753" spans="1:6" ht="15.75" customHeight="1">
      <c r="A753" s="10"/>
      <c r="B753" s="11"/>
      <c r="C753" s="11"/>
      <c r="D753" s="11"/>
      <c r="E753" s="11"/>
      <c r="F753" s="11"/>
    </row>
    <row r="754" spans="1:6" ht="15.75" customHeight="1">
      <c r="A754" s="10"/>
      <c r="B754" s="11"/>
      <c r="C754" s="11"/>
      <c r="D754" s="11"/>
      <c r="E754" s="11"/>
      <c r="F754" s="11"/>
    </row>
    <row r="755" spans="1:6" ht="15.75" customHeight="1">
      <c r="A755" s="10"/>
      <c r="B755" s="11"/>
      <c r="C755" s="11"/>
      <c r="D755" s="11"/>
      <c r="E755" s="11"/>
      <c r="F755" s="11"/>
    </row>
    <row r="756" spans="1:6" ht="15.75" customHeight="1">
      <c r="A756" s="10"/>
      <c r="B756" s="11"/>
      <c r="C756" s="11"/>
      <c r="D756" s="11"/>
      <c r="E756" s="11"/>
      <c r="F756" s="11"/>
    </row>
    <row r="757" spans="1:6" ht="15.75" customHeight="1">
      <c r="A757" s="10"/>
      <c r="B757" s="11"/>
      <c r="C757" s="11"/>
      <c r="D757" s="11"/>
      <c r="E757" s="11"/>
      <c r="F757" s="11"/>
    </row>
    <row r="758" spans="1:6" ht="15.75" customHeight="1">
      <c r="A758" s="10"/>
      <c r="B758" s="11"/>
      <c r="C758" s="11"/>
      <c r="D758" s="11"/>
      <c r="E758" s="11"/>
      <c r="F758" s="11"/>
    </row>
    <row r="759" spans="1:6" ht="15.75" customHeight="1">
      <c r="A759" s="10"/>
      <c r="B759" s="11"/>
      <c r="C759" s="11"/>
      <c r="D759" s="11"/>
      <c r="E759" s="11"/>
      <c r="F759" s="11"/>
    </row>
    <row r="760" spans="1:6" ht="15.75" customHeight="1">
      <c r="A760" s="10"/>
      <c r="B760" s="11"/>
      <c r="C760" s="11"/>
      <c r="D760" s="11"/>
      <c r="E760" s="11"/>
      <c r="F760" s="11"/>
    </row>
    <row r="761" spans="1:6" ht="15.75" customHeight="1">
      <c r="A761" s="10"/>
      <c r="B761" s="11"/>
      <c r="C761" s="11"/>
      <c r="D761" s="11"/>
      <c r="E761" s="11"/>
      <c r="F761" s="11"/>
    </row>
    <row r="762" spans="1:6" ht="15.75" customHeight="1">
      <c r="A762" s="10"/>
      <c r="B762" s="11"/>
      <c r="C762" s="11"/>
      <c r="D762" s="11"/>
      <c r="E762" s="11"/>
      <c r="F762" s="11"/>
    </row>
    <row r="763" spans="1:6" ht="15.75" customHeight="1">
      <c r="A763" s="10"/>
      <c r="B763" s="11"/>
      <c r="C763" s="11"/>
      <c r="D763" s="11"/>
      <c r="E763" s="11"/>
      <c r="F763" s="11"/>
    </row>
    <row r="764" spans="1:6" ht="15.75" customHeight="1">
      <c r="A764" s="10"/>
      <c r="B764" s="11"/>
      <c r="C764" s="11"/>
      <c r="D764" s="11"/>
      <c r="E764" s="11"/>
      <c r="F764" s="11"/>
    </row>
    <row r="765" spans="1:6" ht="15.75" customHeight="1">
      <c r="A765" s="10"/>
      <c r="B765" s="11"/>
      <c r="C765" s="11"/>
      <c r="D765" s="11"/>
      <c r="E765" s="11"/>
      <c r="F765" s="11"/>
    </row>
    <row r="766" spans="1:6" ht="15.75" customHeight="1">
      <c r="A766" s="10"/>
      <c r="B766" s="11"/>
      <c r="C766" s="11"/>
      <c r="D766" s="11"/>
      <c r="E766" s="11"/>
      <c r="F766" s="11"/>
    </row>
    <row r="767" spans="1:6" ht="15.75" customHeight="1">
      <c r="A767" s="10"/>
      <c r="B767" s="11"/>
      <c r="C767" s="11"/>
      <c r="D767" s="11"/>
      <c r="E767" s="11"/>
      <c r="F767" s="11"/>
    </row>
    <row r="768" spans="1:6" ht="15.75" customHeight="1">
      <c r="A768" s="10"/>
      <c r="B768" s="11"/>
      <c r="C768" s="11"/>
      <c r="D768" s="11"/>
      <c r="E768" s="11"/>
      <c r="F768" s="11"/>
    </row>
    <row r="769" spans="1:6" ht="15.75" customHeight="1">
      <c r="A769" s="10"/>
      <c r="B769" s="11"/>
      <c r="C769" s="11"/>
      <c r="D769" s="11"/>
      <c r="E769" s="11"/>
      <c r="F769" s="11"/>
    </row>
    <row r="770" spans="1:6" ht="15.75" customHeight="1">
      <c r="A770" s="10"/>
      <c r="B770" s="11"/>
      <c r="C770" s="11"/>
      <c r="D770" s="11"/>
      <c r="E770" s="11"/>
      <c r="F770" s="11"/>
    </row>
    <row r="771" spans="1:6" ht="15.75" customHeight="1">
      <c r="A771" s="10"/>
      <c r="B771" s="11"/>
      <c r="C771" s="11"/>
      <c r="D771" s="11"/>
      <c r="E771" s="11"/>
      <c r="F771" s="11"/>
    </row>
    <row r="772" spans="1:6" ht="15.75" customHeight="1">
      <c r="A772" s="10"/>
      <c r="B772" s="11"/>
      <c r="C772" s="11"/>
      <c r="D772" s="11"/>
      <c r="E772" s="11"/>
      <c r="F772" s="11"/>
    </row>
    <row r="773" spans="1:6" ht="15.75" customHeight="1">
      <c r="A773" s="10"/>
      <c r="B773" s="11"/>
      <c r="C773" s="11"/>
      <c r="D773" s="11"/>
      <c r="E773" s="11"/>
      <c r="F773" s="11"/>
    </row>
    <row r="774" spans="1:6" ht="15.75" customHeight="1">
      <c r="A774" s="10"/>
      <c r="B774" s="11"/>
      <c r="C774" s="11"/>
      <c r="D774" s="11"/>
      <c r="E774" s="11"/>
      <c r="F774" s="11"/>
    </row>
    <row r="775" spans="1:6" ht="15.75" customHeight="1">
      <c r="A775" s="10"/>
      <c r="B775" s="11"/>
      <c r="C775" s="11"/>
      <c r="D775" s="11"/>
      <c r="E775" s="11"/>
      <c r="F775" s="11"/>
    </row>
    <row r="776" spans="1:6" ht="15.75" customHeight="1">
      <c r="A776" s="10"/>
      <c r="B776" s="11"/>
      <c r="C776" s="11"/>
      <c r="D776" s="11"/>
      <c r="E776" s="11"/>
      <c r="F776" s="11"/>
    </row>
    <row r="777" spans="1:6" ht="15.75" customHeight="1">
      <c r="A777" s="10"/>
      <c r="B777" s="11"/>
      <c r="C777" s="11"/>
      <c r="D777" s="11"/>
      <c r="E777" s="11"/>
      <c r="F777" s="11"/>
    </row>
    <row r="778" spans="1:6" ht="15.75" customHeight="1">
      <c r="A778" s="10"/>
      <c r="B778" s="11"/>
      <c r="C778" s="11"/>
      <c r="D778" s="11"/>
      <c r="E778" s="11"/>
      <c r="F778" s="11"/>
    </row>
    <row r="779" spans="1:6" ht="15.75" customHeight="1">
      <c r="A779" s="10"/>
      <c r="B779" s="11"/>
      <c r="C779" s="11"/>
      <c r="D779" s="11"/>
      <c r="E779" s="11"/>
      <c r="F779" s="11"/>
    </row>
    <row r="780" spans="1:6" ht="15.75" customHeight="1">
      <c r="A780" s="10"/>
      <c r="B780" s="11"/>
      <c r="C780" s="11"/>
      <c r="D780" s="11"/>
      <c r="E780" s="11"/>
      <c r="F780" s="11"/>
    </row>
    <row r="781" spans="1:6" ht="15.75" customHeight="1">
      <c r="A781" s="10"/>
      <c r="B781" s="11"/>
      <c r="C781" s="11"/>
      <c r="D781" s="11"/>
      <c r="E781" s="11"/>
      <c r="F781" s="11"/>
    </row>
    <row r="782" spans="1:6" ht="15.75" customHeight="1">
      <c r="A782" s="10"/>
      <c r="B782" s="11"/>
      <c r="C782" s="11"/>
      <c r="D782" s="11"/>
      <c r="E782" s="11"/>
      <c r="F782" s="11"/>
    </row>
    <row r="783" spans="1:6" ht="15.75" customHeight="1">
      <c r="A783" s="10"/>
      <c r="B783" s="11"/>
      <c r="C783" s="11"/>
      <c r="D783" s="11"/>
      <c r="E783" s="11"/>
      <c r="F783" s="11"/>
    </row>
    <row r="784" spans="1:6" ht="15.75" customHeight="1">
      <c r="A784" s="10"/>
      <c r="B784" s="11"/>
      <c r="C784" s="11"/>
      <c r="D784" s="11"/>
      <c r="E784" s="11"/>
      <c r="F784" s="11"/>
    </row>
    <row r="785" spans="1:6" ht="15.75" customHeight="1">
      <c r="A785" s="10"/>
      <c r="B785" s="11"/>
      <c r="C785" s="11"/>
      <c r="D785" s="11"/>
      <c r="E785" s="11"/>
      <c r="F785" s="11"/>
    </row>
    <row r="786" spans="1:6" ht="15.75" customHeight="1">
      <c r="A786" s="10"/>
      <c r="B786" s="11"/>
      <c r="C786" s="11"/>
      <c r="D786" s="11"/>
      <c r="E786" s="11"/>
      <c r="F786" s="11"/>
    </row>
    <row r="787" spans="1:6" ht="15.75" customHeight="1">
      <c r="A787" s="10"/>
      <c r="B787" s="11"/>
      <c r="C787" s="11"/>
      <c r="D787" s="11"/>
      <c r="E787" s="11"/>
      <c r="F787" s="11"/>
    </row>
    <row r="788" spans="1:6" ht="15.75" customHeight="1">
      <c r="A788" s="10"/>
      <c r="B788" s="11"/>
      <c r="C788" s="11"/>
      <c r="D788" s="11"/>
      <c r="E788" s="11"/>
      <c r="F788" s="11"/>
    </row>
    <row r="789" spans="1:6" ht="15.75" customHeight="1">
      <c r="A789" s="10"/>
      <c r="B789" s="11"/>
      <c r="C789" s="11"/>
      <c r="D789" s="11"/>
      <c r="E789" s="11"/>
      <c r="F789" s="11"/>
    </row>
    <row r="790" spans="1:6" ht="15.75" customHeight="1">
      <c r="A790" s="10"/>
      <c r="B790" s="11"/>
      <c r="C790" s="11"/>
      <c r="D790" s="11"/>
      <c r="E790" s="11"/>
      <c r="F790" s="11"/>
    </row>
    <row r="791" spans="1:6" ht="15.75" customHeight="1">
      <c r="A791" s="10"/>
      <c r="B791" s="11"/>
      <c r="C791" s="11"/>
      <c r="D791" s="11"/>
      <c r="E791" s="11"/>
      <c r="F791" s="11"/>
    </row>
    <row r="792" spans="1:6" ht="15.75" customHeight="1">
      <c r="A792" s="10"/>
      <c r="B792" s="11"/>
      <c r="C792" s="11"/>
      <c r="D792" s="11"/>
      <c r="E792" s="11"/>
      <c r="F792" s="11"/>
    </row>
    <row r="793" spans="1:6" ht="15.75" customHeight="1">
      <c r="A793" s="10"/>
      <c r="B793" s="11"/>
      <c r="C793" s="11"/>
      <c r="D793" s="11"/>
      <c r="E793" s="11"/>
      <c r="F793" s="11"/>
    </row>
    <row r="794" spans="1:6" ht="15.75" customHeight="1">
      <c r="A794" s="10"/>
      <c r="B794" s="11"/>
      <c r="C794" s="11"/>
      <c r="D794" s="11"/>
      <c r="E794" s="11"/>
      <c r="F794" s="11"/>
    </row>
    <row r="795" spans="1:6" ht="15.75" customHeight="1">
      <c r="A795" s="10"/>
      <c r="B795" s="11"/>
      <c r="C795" s="11"/>
      <c r="D795" s="11"/>
      <c r="E795" s="11"/>
      <c r="F795" s="11"/>
    </row>
    <row r="796" spans="1:6" ht="15.75" customHeight="1">
      <c r="A796" s="10"/>
      <c r="B796" s="11"/>
      <c r="C796" s="11"/>
      <c r="D796" s="11"/>
      <c r="E796" s="11"/>
      <c r="F796" s="11"/>
    </row>
    <row r="797" spans="1:6" ht="15.75" customHeight="1">
      <c r="A797" s="10"/>
      <c r="B797" s="11"/>
      <c r="C797" s="11"/>
      <c r="D797" s="11"/>
      <c r="E797" s="11"/>
      <c r="F797" s="11"/>
    </row>
    <row r="798" spans="1:6" ht="15.75" customHeight="1">
      <c r="A798" s="10"/>
      <c r="B798" s="11"/>
      <c r="C798" s="11"/>
      <c r="D798" s="11"/>
      <c r="E798" s="11"/>
      <c r="F798" s="11"/>
    </row>
    <row r="799" spans="1:6" ht="15.75" customHeight="1">
      <c r="A799" s="10"/>
      <c r="B799" s="11"/>
      <c r="C799" s="11"/>
      <c r="D799" s="11"/>
      <c r="E799" s="11"/>
      <c r="F799" s="11"/>
    </row>
    <row r="800" spans="1:6" ht="15.75" customHeight="1">
      <c r="A800" s="10"/>
      <c r="B800" s="11"/>
      <c r="C800" s="11"/>
      <c r="D800" s="11"/>
      <c r="E800" s="11"/>
      <c r="F800" s="11"/>
    </row>
    <row r="801" spans="1:6" ht="15.75" customHeight="1">
      <c r="A801" s="10"/>
      <c r="B801" s="11"/>
      <c r="C801" s="11"/>
      <c r="D801" s="11"/>
      <c r="E801" s="11"/>
      <c r="F801" s="11"/>
    </row>
    <row r="802" spans="1:6" ht="15.75" customHeight="1">
      <c r="A802" s="10"/>
      <c r="B802" s="11"/>
      <c r="C802" s="11"/>
      <c r="D802" s="11"/>
      <c r="E802" s="11"/>
      <c r="F802" s="11"/>
    </row>
    <row r="803" spans="1:6" ht="15.75" customHeight="1">
      <c r="A803" s="10"/>
      <c r="B803" s="11"/>
      <c r="C803" s="11"/>
      <c r="D803" s="11"/>
      <c r="E803" s="11"/>
      <c r="F803" s="11"/>
    </row>
    <row r="804" spans="1:6" ht="15.75" customHeight="1">
      <c r="A804" s="10"/>
      <c r="B804" s="11"/>
      <c r="C804" s="11"/>
      <c r="D804" s="11"/>
      <c r="E804" s="11"/>
      <c r="F804" s="11"/>
    </row>
    <row r="805" spans="1:6" ht="15.75" customHeight="1">
      <c r="A805" s="10"/>
      <c r="B805" s="11"/>
      <c r="C805" s="11"/>
      <c r="D805" s="11"/>
      <c r="E805" s="11"/>
      <c r="F805" s="11"/>
    </row>
    <row r="806" spans="1:6" ht="15.75" customHeight="1">
      <c r="A806" s="10"/>
      <c r="B806" s="11"/>
      <c r="C806" s="11"/>
      <c r="D806" s="11"/>
      <c r="E806" s="11"/>
      <c r="F806" s="11"/>
    </row>
    <row r="807" spans="1:6" ht="15.75" customHeight="1">
      <c r="A807" s="10"/>
      <c r="B807" s="11"/>
      <c r="C807" s="11"/>
      <c r="D807" s="11"/>
      <c r="E807" s="11"/>
      <c r="F807" s="11"/>
    </row>
    <row r="808" spans="1:6" ht="15.75" customHeight="1">
      <c r="A808" s="10"/>
      <c r="B808" s="11"/>
      <c r="C808" s="11"/>
      <c r="D808" s="11"/>
      <c r="E808" s="11"/>
      <c r="F808" s="11"/>
    </row>
    <row r="809" spans="1:6" ht="15.75" customHeight="1">
      <c r="A809" s="10"/>
      <c r="B809" s="11"/>
      <c r="C809" s="11"/>
      <c r="D809" s="11"/>
      <c r="E809" s="11"/>
      <c r="F809" s="11"/>
    </row>
    <row r="810" spans="1:6" ht="15.75" customHeight="1">
      <c r="A810" s="10"/>
      <c r="B810" s="11"/>
      <c r="C810" s="11"/>
      <c r="D810" s="11"/>
      <c r="E810" s="11"/>
      <c r="F810" s="11"/>
    </row>
    <row r="811" spans="1:6" ht="15.75" customHeight="1">
      <c r="A811" s="10"/>
      <c r="B811" s="11"/>
      <c r="C811" s="11"/>
      <c r="D811" s="11"/>
      <c r="E811" s="11"/>
      <c r="F811" s="11"/>
    </row>
    <row r="812" spans="1:6" ht="15.75" customHeight="1">
      <c r="A812" s="10"/>
      <c r="B812" s="11"/>
      <c r="C812" s="11"/>
      <c r="D812" s="11"/>
      <c r="E812" s="11"/>
      <c r="F812" s="11"/>
    </row>
    <row r="813" spans="1:6" ht="15.75" customHeight="1">
      <c r="A813" s="10"/>
      <c r="B813" s="11"/>
      <c r="C813" s="11"/>
      <c r="D813" s="11"/>
      <c r="E813" s="11"/>
      <c r="F813" s="11"/>
    </row>
    <row r="814" spans="1:6" ht="15.75" customHeight="1">
      <c r="A814" s="10"/>
      <c r="B814" s="11"/>
      <c r="C814" s="11"/>
      <c r="D814" s="11"/>
      <c r="E814" s="11"/>
      <c r="F814" s="11"/>
    </row>
    <row r="815" spans="1:6" ht="15.75" customHeight="1">
      <c r="A815" s="10"/>
      <c r="B815" s="11"/>
      <c r="C815" s="11"/>
      <c r="D815" s="11"/>
      <c r="E815" s="11"/>
      <c r="F815" s="11"/>
    </row>
    <row r="816" spans="1:6" ht="15.75" customHeight="1">
      <c r="A816" s="10"/>
      <c r="B816" s="11"/>
      <c r="C816" s="11"/>
      <c r="D816" s="11"/>
      <c r="E816" s="11"/>
      <c r="F816" s="11"/>
    </row>
    <row r="817" spans="1:6" ht="15.75" customHeight="1">
      <c r="A817" s="10"/>
      <c r="B817" s="11"/>
      <c r="C817" s="11"/>
      <c r="D817" s="11"/>
      <c r="E817" s="11"/>
      <c r="F817" s="11"/>
    </row>
    <row r="818" spans="1:6" ht="15.75" customHeight="1">
      <c r="A818" s="10"/>
      <c r="B818" s="11"/>
      <c r="C818" s="11"/>
      <c r="D818" s="11"/>
      <c r="E818" s="11"/>
      <c r="F818" s="11"/>
    </row>
    <row r="819" spans="1:6" ht="15.75" customHeight="1">
      <c r="A819" s="10"/>
      <c r="B819" s="11"/>
      <c r="C819" s="11"/>
      <c r="D819" s="11"/>
      <c r="E819" s="11"/>
      <c r="F819" s="11"/>
    </row>
    <row r="820" spans="1:6" ht="15.75" customHeight="1">
      <c r="A820" s="10"/>
      <c r="B820" s="11"/>
      <c r="C820" s="11"/>
      <c r="D820" s="11"/>
      <c r="E820" s="11"/>
      <c r="F820" s="11"/>
    </row>
    <row r="821" spans="1:6" ht="15.75" customHeight="1">
      <c r="A821" s="10"/>
      <c r="B821" s="11"/>
      <c r="C821" s="11"/>
      <c r="D821" s="11"/>
      <c r="E821" s="11"/>
      <c r="F821" s="11"/>
    </row>
    <row r="822" spans="1:6" ht="15.75" customHeight="1">
      <c r="A822" s="10"/>
      <c r="B822" s="11"/>
      <c r="C822" s="11"/>
      <c r="D822" s="11"/>
      <c r="E822" s="11"/>
      <c r="F822" s="11"/>
    </row>
    <row r="823" spans="1:6" ht="15.75" customHeight="1">
      <c r="A823" s="10"/>
      <c r="B823" s="11"/>
      <c r="C823" s="11"/>
      <c r="D823" s="11"/>
      <c r="E823" s="11"/>
      <c r="F823" s="11"/>
    </row>
    <row r="824" spans="1:6" ht="15.75" customHeight="1">
      <c r="A824" s="10"/>
      <c r="B824" s="11"/>
      <c r="C824" s="11"/>
      <c r="D824" s="11"/>
      <c r="E824" s="11"/>
      <c r="F824" s="11"/>
    </row>
    <row r="825" spans="1:6" ht="15.75" customHeight="1">
      <c r="A825" s="10"/>
      <c r="B825" s="11"/>
      <c r="C825" s="11"/>
      <c r="D825" s="11"/>
      <c r="E825" s="11"/>
      <c r="F825" s="11"/>
    </row>
    <row r="826" spans="1:6" ht="15.75" customHeight="1">
      <c r="A826" s="10"/>
      <c r="B826" s="11"/>
      <c r="C826" s="11"/>
      <c r="D826" s="11"/>
      <c r="E826" s="11"/>
      <c r="F826" s="11"/>
    </row>
    <row r="827" spans="1:6" ht="15.75" customHeight="1">
      <c r="A827" s="10"/>
      <c r="B827" s="11"/>
      <c r="C827" s="11"/>
      <c r="D827" s="11"/>
      <c r="E827" s="11"/>
      <c r="F827" s="11"/>
    </row>
    <row r="828" spans="1:6" ht="15.75" customHeight="1">
      <c r="A828" s="10"/>
      <c r="B828" s="11"/>
      <c r="C828" s="11"/>
      <c r="D828" s="11"/>
      <c r="E828" s="11"/>
      <c r="F828" s="11"/>
    </row>
    <row r="829" spans="1:6" ht="15.75" customHeight="1">
      <c r="A829" s="10"/>
      <c r="B829" s="11"/>
      <c r="C829" s="11"/>
      <c r="D829" s="11"/>
      <c r="E829" s="11"/>
      <c r="F829" s="11"/>
    </row>
    <row r="830" spans="1:6" ht="15.75" customHeight="1">
      <c r="A830" s="10"/>
      <c r="B830" s="11"/>
      <c r="C830" s="11"/>
      <c r="D830" s="11"/>
      <c r="E830" s="11"/>
      <c r="F830" s="11"/>
    </row>
    <row r="831" spans="1:6" ht="15.75" customHeight="1">
      <c r="A831" s="10"/>
      <c r="B831" s="11"/>
      <c r="C831" s="11"/>
      <c r="D831" s="11"/>
      <c r="E831" s="11"/>
      <c r="F831" s="11"/>
    </row>
    <row r="832" spans="1:6" ht="15.75" customHeight="1">
      <c r="A832" s="10"/>
      <c r="B832" s="11"/>
      <c r="C832" s="11"/>
      <c r="D832" s="11"/>
      <c r="E832" s="11"/>
      <c r="F832" s="11"/>
    </row>
    <row r="833" spans="1:6" ht="15.75" customHeight="1">
      <c r="A833" s="10"/>
      <c r="B833" s="11"/>
      <c r="C833" s="11"/>
      <c r="D833" s="11"/>
      <c r="E833" s="11"/>
      <c r="F833" s="11"/>
    </row>
    <row r="834" spans="1:6" ht="15.75" customHeight="1">
      <c r="A834" s="10"/>
      <c r="B834" s="11"/>
      <c r="C834" s="11"/>
      <c r="D834" s="11"/>
      <c r="E834" s="11"/>
      <c r="F834" s="11"/>
    </row>
    <row r="835" spans="1:6" ht="15.75" customHeight="1">
      <c r="A835" s="10"/>
      <c r="B835" s="11"/>
      <c r="C835" s="11"/>
      <c r="D835" s="11"/>
      <c r="E835" s="11"/>
      <c r="F835" s="11"/>
    </row>
    <row r="836" spans="1:6" ht="15.75" customHeight="1">
      <c r="A836" s="10"/>
      <c r="B836" s="11"/>
      <c r="C836" s="11"/>
      <c r="D836" s="11"/>
      <c r="E836" s="11"/>
      <c r="F836" s="11"/>
    </row>
    <row r="837" spans="1:6" ht="15.75" customHeight="1">
      <c r="A837" s="10"/>
      <c r="B837" s="11"/>
      <c r="C837" s="11"/>
      <c r="D837" s="11"/>
      <c r="E837" s="11"/>
      <c r="F837" s="11"/>
    </row>
    <row r="838" spans="1:6" ht="15.75" customHeight="1">
      <c r="A838" s="10"/>
      <c r="B838" s="11"/>
      <c r="C838" s="11"/>
      <c r="D838" s="11"/>
      <c r="E838" s="11"/>
      <c r="F838" s="11"/>
    </row>
    <row r="839" spans="1:6" ht="15.75" customHeight="1">
      <c r="A839" s="10"/>
      <c r="B839" s="11"/>
      <c r="C839" s="11"/>
      <c r="D839" s="11"/>
      <c r="E839" s="11"/>
      <c r="F839" s="11"/>
    </row>
    <row r="840" spans="1:6" ht="15.75" customHeight="1">
      <c r="A840" s="10"/>
      <c r="B840" s="11"/>
      <c r="C840" s="11"/>
      <c r="D840" s="11"/>
      <c r="E840" s="11"/>
      <c r="F840" s="11"/>
    </row>
    <row r="841" spans="1:6" ht="15.75" customHeight="1">
      <c r="A841" s="10"/>
      <c r="B841" s="11"/>
      <c r="C841" s="11"/>
      <c r="D841" s="11"/>
      <c r="E841" s="11"/>
      <c r="F841" s="11"/>
    </row>
    <row r="842" spans="1:6" ht="15.75" customHeight="1">
      <c r="A842" s="10"/>
      <c r="B842" s="11"/>
      <c r="C842" s="11"/>
      <c r="D842" s="11"/>
      <c r="E842" s="11"/>
      <c r="F842" s="11"/>
    </row>
    <row r="843" spans="1:6" ht="15.75" customHeight="1">
      <c r="A843" s="10"/>
      <c r="B843" s="11"/>
      <c r="C843" s="11"/>
      <c r="D843" s="11"/>
      <c r="E843" s="11"/>
      <c r="F843" s="11"/>
    </row>
    <row r="844" spans="1:6" ht="15.75" customHeight="1">
      <c r="A844" s="10"/>
      <c r="B844" s="11"/>
      <c r="C844" s="11"/>
      <c r="D844" s="11"/>
      <c r="E844" s="11"/>
      <c r="F844" s="11"/>
    </row>
    <row r="845" spans="1:6" ht="15.75" customHeight="1">
      <c r="A845" s="10"/>
      <c r="B845" s="11"/>
      <c r="C845" s="11"/>
      <c r="D845" s="11"/>
      <c r="E845" s="11"/>
      <c r="F845" s="11"/>
    </row>
    <row r="846" spans="1:6" ht="15.75" customHeight="1">
      <c r="A846" s="10"/>
      <c r="B846" s="11"/>
      <c r="C846" s="11"/>
      <c r="D846" s="11"/>
      <c r="E846" s="11"/>
      <c r="F846" s="11"/>
    </row>
    <row r="847" spans="1:6" ht="15.75" customHeight="1">
      <c r="A847" s="10"/>
      <c r="B847" s="11"/>
      <c r="C847" s="11"/>
      <c r="D847" s="11"/>
      <c r="E847" s="11"/>
      <c r="F847" s="11"/>
    </row>
    <row r="848" spans="1:6" ht="15.75" customHeight="1">
      <c r="A848" s="10"/>
      <c r="B848" s="11"/>
      <c r="C848" s="11"/>
      <c r="D848" s="11"/>
      <c r="E848" s="11"/>
      <c r="F848" s="11"/>
    </row>
    <row r="849" spans="1:6" ht="15.75" customHeight="1">
      <c r="A849" s="10"/>
      <c r="B849" s="11"/>
      <c r="C849" s="11"/>
      <c r="D849" s="11"/>
      <c r="E849" s="11"/>
      <c r="F849" s="11"/>
    </row>
    <row r="850" spans="1:6" ht="15.75" customHeight="1">
      <c r="A850" s="10"/>
      <c r="B850" s="11"/>
      <c r="C850" s="11"/>
      <c r="D850" s="11"/>
      <c r="E850" s="11"/>
      <c r="F850" s="11"/>
    </row>
    <row r="851" spans="1:6" ht="15.75" customHeight="1">
      <c r="A851" s="10"/>
      <c r="B851" s="11"/>
      <c r="C851" s="11"/>
      <c r="D851" s="11"/>
      <c r="E851" s="11"/>
      <c r="F851" s="11"/>
    </row>
    <row r="852" spans="1:6" ht="15.75" customHeight="1">
      <c r="A852" s="10"/>
      <c r="B852" s="11"/>
      <c r="C852" s="11"/>
      <c r="D852" s="11"/>
      <c r="E852" s="11"/>
      <c r="F852" s="11"/>
    </row>
    <row r="853" spans="1:6" ht="15.75" customHeight="1">
      <c r="A853" s="10"/>
      <c r="B853" s="11"/>
      <c r="C853" s="11"/>
      <c r="D853" s="11"/>
      <c r="E853" s="11"/>
      <c r="F853" s="11"/>
    </row>
    <row r="854" spans="1:6" ht="15.75" customHeight="1">
      <c r="A854" s="10"/>
      <c r="B854" s="11"/>
      <c r="C854" s="11"/>
      <c r="D854" s="11"/>
      <c r="E854" s="11"/>
      <c r="F854" s="11"/>
    </row>
    <row r="855" spans="1:6" ht="15.75" customHeight="1">
      <c r="A855" s="10"/>
      <c r="B855" s="11"/>
      <c r="C855" s="11"/>
      <c r="D855" s="11"/>
      <c r="E855" s="11"/>
      <c r="F855" s="11"/>
    </row>
    <row r="856" spans="1:6" ht="15.75" customHeight="1">
      <c r="A856" s="10"/>
      <c r="B856" s="11"/>
      <c r="C856" s="11"/>
      <c r="D856" s="11"/>
      <c r="E856" s="11"/>
      <c r="F856" s="11"/>
    </row>
    <row r="857" spans="1:6" ht="15.75" customHeight="1">
      <c r="A857" s="10"/>
      <c r="B857" s="11"/>
      <c r="C857" s="11"/>
      <c r="D857" s="11"/>
      <c r="E857" s="11"/>
      <c r="F857" s="11"/>
    </row>
    <row r="858" spans="1:6" ht="15.75" customHeight="1">
      <c r="A858" s="10"/>
      <c r="B858" s="11"/>
      <c r="C858" s="11"/>
      <c r="D858" s="11"/>
      <c r="E858" s="11"/>
      <c r="F858" s="11"/>
    </row>
    <row r="859" spans="1:6" ht="15.75" customHeight="1">
      <c r="A859" s="10"/>
      <c r="B859" s="11"/>
      <c r="C859" s="11"/>
      <c r="D859" s="11"/>
      <c r="E859" s="11"/>
      <c r="F859" s="11"/>
    </row>
    <row r="860" spans="1:6" ht="15.75" customHeight="1">
      <c r="A860" s="10"/>
      <c r="B860" s="11"/>
      <c r="C860" s="11"/>
      <c r="D860" s="11"/>
      <c r="E860" s="11"/>
      <c r="F860" s="11"/>
    </row>
    <row r="861" spans="1:6" ht="15.75" customHeight="1">
      <c r="A861" s="10"/>
      <c r="B861" s="11"/>
      <c r="C861" s="11"/>
      <c r="D861" s="11"/>
      <c r="E861" s="11"/>
      <c r="F861" s="11"/>
    </row>
    <row r="862" spans="1:6" ht="15.75" customHeight="1">
      <c r="A862" s="10"/>
      <c r="B862" s="11"/>
      <c r="C862" s="11"/>
      <c r="D862" s="11"/>
      <c r="E862" s="11"/>
      <c r="F862" s="11"/>
    </row>
    <row r="863" spans="1:6" ht="15.75" customHeight="1">
      <c r="A863" s="10"/>
      <c r="B863" s="11"/>
      <c r="C863" s="11"/>
      <c r="D863" s="11"/>
      <c r="E863" s="11"/>
      <c r="F863" s="11"/>
    </row>
    <row r="864" spans="1:6" ht="15.75" customHeight="1">
      <c r="A864" s="10"/>
      <c r="B864" s="11"/>
      <c r="C864" s="11"/>
      <c r="D864" s="11"/>
      <c r="E864" s="11"/>
      <c r="F864" s="11"/>
    </row>
    <row r="865" spans="1:6" ht="15.75" customHeight="1">
      <c r="A865" s="10"/>
      <c r="B865" s="11"/>
      <c r="C865" s="11"/>
      <c r="D865" s="11"/>
      <c r="E865" s="11"/>
      <c r="F865" s="11"/>
    </row>
    <row r="866" spans="1:6" ht="15.75" customHeight="1">
      <c r="A866" s="10"/>
      <c r="B866" s="11"/>
      <c r="C866" s="11"/>
      <c r="D866" s="11"/>
      <c r="E866" s="11"/>
      <c r="F866" s="11"/>
    </row>
    <row r="867" spans="1:6" ht="15.75" customHeight="1">
      <c r="A867" s="10"/>
      <c r="B867" s="11"/>
      <c r="C867" s="11"/>
      <c r="D867" s="11"/>
      <c r="E867" s="11"/>
      <c r="F867" s="11"/>
    </row>
    <row r="868" spans="1:6" ht="15.75" customHeight="1">
      <c r="A868" s="10"/>
      <c r="B868" s="11"/>
      <c r="C868" s="11"/>
      <c r="D868" s="11"/>
      <c r="E868" s="11"/>
      <c r="F868" s="11"/>
    </row>
    <row r="869" spans="1:6" ht="15.75" customHeight="1">
      <c r="A869" s="10"/>
      <c r="B869" s="11"/>
      <c r="C869" s="11"/>
      <c r="D869" s="11"/>
      <c r="E869" s="11"/>
      <c r="F869" s="11"/>
    </row>
    <row r="870" spans="1:6" ht="15.75" customHeight="1">
      <c r="A870" s="10"/>
      <c r="B870" s="11"/>
      <c r="C870" s="11"/>
      <c r="D870" s="11"/>
      <c r="E870" s="11"/>
      <c r="F870" s="11"/>
    </row>
    <row r="871" spans="1:6" ht="15.75" customHeight="1">
      <c r="A871" s="10"/>
      <c r="B871" s="11"/>
      <c r="C871" s="11"/>
      <c r="D871" s="11"/>
      <c r="E871" s="11"/>
      <c r="F871" s="11"/>
    </row>
    <row r="872" spans="1:6" ht="15.75" customHeight="1">
      <c r="A872" s="10"/>
      <c r="B872" s="11"/>
      <c r="C872" s="11"/>
      <c r="D872" s="11"/>
      <c r="E872" s="11"/>
      <c r="F872" s="11"/>
    </row>
    <row r="873" spans="1:6" ht="15.75" customHeight="1">
      <c r="A873" s="10"/>
      <c r="B873" s="11"/>
      <c r="C873" s="11"/>
      <c r="D873" s="11"/>
      <c r="E873" s="11"/>
      <c r="F873" s="11"/>
    </row>
    <row r="874" spans="1:6" ht="15.75" customHeight="1">
      <c r="A874" s="10"/>
      <c r="B874" s="11"/>
      <c r="C874" s="11"/>
      <c r="D874" s="11"/>
      <c r="E874" s="11"/>
      <c r="F874" s="11"/>
    </row>
    <row r="875" spans="1:6" ht="15.75" customHeight="1">
      <c r="A875" s="10"/>
      <c r="B875" s="11"/>
      <c r="C875" s="11"/>
      <c r="D875" s="11"/>
      <c r="E875" s="11"/>
      <c r="F875" s="11"/>
    </row>
    <row r="876" spans="1:6" ht="15.75" customHeight="1">
      <c r="A876" s="10"/>
      <c r="B876" s="11"/>
      <c r="C876" s="11"/>
      <c r="D876" s="11"/>
      <c r="E876" s="11"/>
      <c r="F876" s="11"/>
    </row>
    <row r="877" spans="1:6" ht="15.75" customHeight="1">
      <c r="A877" s="10"/>
      <c r="B877" s="11"/>
      <c r="C877" s="11"/>
      <c r="D877" s="11"/>
      <c r="E877" s="11"/>
      <c r="F877" s="11"/>
    </row>
    <row r="878" spans="1:6" ht="15.75" customHeight="1">
      <c r="A878" s="10"/>
      <c r="B878" s="11"/>
      <c r="C878" s="11"/>
      <c r="D878" s="11"/>
      <c r="E878" s="11"/>
      <c r="F878" s="11"/>
    </row>
    <row r="879" spans="1:6" ht="15.75" customHeight="1">
      <c r="A879" s="10"/>
      <c r="B879" s="11"/>
      <c r="C879" s="11"/>
      <c r="D879" s="11"/>
      <c r="E879" s="11"/>
      <c r="F879" s="11"/>
    </row>
    <row r="880" spans="1:6" ht="15.75" customHeight="1">
      <c r="A880" s="10"/>
      <c r="B880" s="11"/>
      <c r="C880" s="11"/>
      <c r="D880" s="11"/>
      <c r="E880" s="11"/>
      <c r="F880" s="11"/>
    </row>
    <row r="881" spans="1:6" ht="15.75" customHeight="1">
      <c r="A881" s="10"/>
      <c r="B881" s="11"/>
      <c r="C881" s="11"/>
      <c r="D881" s="11"/>
      <c r="E881" s="11"/>
      <c r="F881" s="11"/>
    </row>
    <row r="882" spans="1:6" ht="15.75" customHeight="1">
      <c r="A882" s="10"/>
      <c r="B882" s="11"/>
      <c r="C882" s="11"/>
      <c r="D882" s="11"/>
      <c r="E882" s="11"/>
      <c r="F882" s="11"/>
    </row>
    <row r="883" spans="1:6" ht="15.75" customHeight="1">
      <c r="A883" s="10"/>
      <c r="B883" s="11"/>
      <c r="C883" s="11"/>
      <c r="D883" s="11"/>
      <c r="E883" s="11"/>
      <c r="F883" s="11"/>
    </row>
    <row r="884" spans="1:6" ht="15.75" customHeight="1">
      <c r="A884" s="10"/>
      <c r="B884" s="11"/>
      <c r="C884" s="11"/>
      <c r="D884" s="11"/>
      <c r="E884" s="11"/>
      <c r="F884" s="11"/>
    </row>
    <row r="885" spans="1:6" ht="15.75" customHeight="1">
      <c r="A885" s="10"/>
      <c r="B885" s="11"/>
      <c r="C885" s="11"/>
      <c r="D885" s="11"/>
      <c r="E885" s="11"/>
      <c r="F885" s="11"/>
    </row>
    <row r="886" spans="1:6" ht="15.75" customHeight="1">
      <c r="A886" s="10"/>
      <c r="B886" s="11"/>
      <c r="C886" s="11"/>
      <c r="D886" s="11"/>
      <c r="E886" s="11"/>
      <c r="F886" s="11"/>
    </row>
    <row r="887" spans="1:6" ht="15.75" customHeight="1">
      <c r="A887" s="10"/>
      <c r="B887" s="11"/>
      <c r="C887" s="11"/>
      <c r="D887" s="11"/>
      <c r="E887" s="11"/>
      <c r="F887" s="11"/>
    </row>
    <row r="888" spans="1:6" ht="15.75" customHeight="1">
      <c r="A888" s="10"/>
      <c r="B888" s="11"/>
      <c r="C888" s="11"/>
      <c r="D888" s="11"/>
      <c r="E888" s="11"/>
      <c r="F888" s="11"/>
    </row>
    <row r="889" spans="1:6" ht="15.75" customHeight="1">
      <c r="A889" s="10"/>
      <c r="B889" s="11"/>
      <c r="C889" s="11"/>
      <c r="D889" s="11"/>
      <c r="E889" s="11"/>
      <c r="F889" s="11"/>
    </row>
    <row r="890" spans="1:6" ht="15.75" customHeight="1">
      <c r="A890" s="10"/>
      <c r="B890" s="11"/>
      <c r="C890" s="11"/>
      <c r="D890" s="11"/>
      <c r="E890" s="11"/>
      <c r="F890" s="11"/>
    </row>
    <row r="891" spans="1:6" ht="15.75" customHeight="1">
      <c r="A891" s="10"/>
      <c r="B891" s="11"/>
      <c r="C891" s="11"/>
      <c r="D891" s="11"/>
      <c r="E891" s="11"/>
      <c r="F891" s="11"/>
    </row>
    <row r="892" spans="1:6" ht="15.75" customHeight="1">
      <c r="A892" s="10"/>
      <c r="B892" s="11"/>
      <c r="C892" s="11"/>
      <c r="D892" s="11"/>
      <c r="E892" s="11"/>
      <c r="F892" s="11"/>
    </row>
    <row r="893" spans="1:6" ht="15.75" customHeight="1">
      <c r="A893" s="10"/>
      <c r="B893" s="11"/>
      <c r="C893" s="11"/>
      <c r="D893" s="11"/>
      <c r="E893" s="11"/>
      <c r="F893" s="11"/>
    </row>
    <row r="894" spans="1:6" ht="15.75" customHeight="1">
      <c r="A894" s="10"/>
      <c r="B894" s="11"/>
      <c r="C894" s="11"/>
      <c r="D894" s="11"/>
      <c r="E894" s="11"/>
      <c r="F894" s="11"/>
    </row>
    <row r="895" spans="1:6" ht="15.75" customHeight="1">
      <c r="A895" s="10"/>
      <c r="B895" s="11"/>
      <c r="C895" s="11"/>
      <c r="D895" s="11"/>
      <c r="E895" s="11"/>
      <c r="F895" s="11"/>
    </row>
    <row r="896" spans="1:6" ht="15.75" customHeight="1">
      <c r="A896" s="10"/>
      <c r="B896" s="11"/>
      <c r="C896" s="11"/>
      <c r="D896" s="11"/>
      <c r="E896" s="11"/>
      <c r="F896" s="11"/>
    </row>
    <row r="897" spans="1:6" ht="15.75" customHeight="1">
      <c r="A897" s="10"/>
      <c r="B897" s="11"/>
      <c r="C897" s="11"/>
      <c r="D897" s="11"/>
      <c r="E897" s="11"/>
      <c r="F897" s="11"/>
    </row>
    <row r="898" spans="1:6" ht="15.75" customHeight="1">
      <c r="A898" s="10"/>
      <c r="B898" s="11"/>
      <c r="C898" s="11"/>
      <c r="D898" s="11"/>
      <c r="E898" s="11"/>
      <c r="F898" s="11"/>
    </row>
    <row r="899" spans="1:6" ht="15.75" customHeight="1">
      <c r="A899" s="10"/>
      <c r="B899" s="11"/>
      <c r="C899" s="11"/>
      <c r="D899" s="11"/>
      <c r="E899" s="11"/>
      <c r="F899" s="11"/>
    </row>
    <row r="900" spans="1:6" ht="15.75" customHeight="1">
      <c r="A900" s="10"/>
      <c r="B900" s="11"/>
      <c r="C900" s="11"/>
      <c r="D900" s="11"/>
      <c r="E900" s="11"/>
      <c r="F900" s="11"/>
    </row>
    <row r="901" spans="1:6" ht="15.75" customHeight="1">
      <c r="A901" s="10"/>
      <c r="B901" s="11"/>
      <c r="C901" s="11"/>
      <c r="D901" s="11"/>
      <c r="E901" s="11"/>
      <c r="F901" s="11"/>
    </row>
    <row r="902" spans="1:6" ht="15.75" customHeight="1">
      <c r="A902" s="10"/>
      <c r="B902" s="11"/>
      <c r="C902" s="11"/>
      <c r="D902" s="11"/>
      <c r="E902" s="11"/>
      <c r="F902" s="11"/>
    </row>
    <row r="903" spans="1:6" ht="15.75" customHeight="1">
      <c r="A903" s="10"/>
      <c r="B903" s="11"/>
      <c r="C903" s="11"/>
      <c r="D903" s="11"/>
      <c r="E903" s="11"/>
      <c r="F903" s="11"/>
    </row>
    <row r="904" spans="1:6" ht="15.75" customHeight="1">
      <c r="A904" s="10"/>
      <c r="B904" s="11"/>
      <c r="C904" s="11"/>
      <c r="D904" s="11"/>
      <c r="E904" s="11"/>
      <c r="F904" s="11"/>
    </row>
    <row r="905" spans="1:6" ht="15.75" customHeight="1">
      <c r="A905" s="10"/>
      <c r="B905" s="11"/>
      <c r="C905" s="11"/>
      <c r="D905" s="11"/>
      <c r="E905" s="11"/>
      <c r="F905" s="11"/>
    </row>
    <row r="906" spans="1:6" ht="15.75" customHeight="1">
      <c r="A906" s="10"/>
      <c r="B906" s="11"/>
      <c r="C906" s="11"/>
      <c r="D906" s="11"/>
      <c r="E906" s="11"/>
      <c r="F906" s="11"/>
    </row>
    <row r="907" spans="1:6" ht="15.75" customHeight="1">
      <c r="A907" s="10"/>
      <c r="B907" s="11"/>
      <c r="C907" s="11"/>
      <c r="D907" s="11"/>
      <c r="E907" s="11"/>
      <c r="F907" s="11"/>
    </row>
    <row r="908" spans="1:6" ht="15.75" customHeight="1">
      <c r="A908" s="10"/>
      <c r="B908" s="11"/>
      <c r="C908" s="11"/>
      <c r="D908" s="11"/>
      <c r="E908" s="11"/>
      <c r="F908" s="11"/>
    </row>
    <row r="909" spans="1:6" ht="15.75" customHeight="1">
      <c r="A909" s="10"/>
      <c r="B909" s="11"/>
      <c r="C909" s="11"/>
      <c r="D909" s="11"/>
      <c r="E909" s="11"/>
      <c r="F909" s="11"/>
    </row>
    <row r="910" spans="1:6" ht="15.75" customHeight="1">
      <c r="A910" s="10"/>
      <c r="B910" s="11"/>
      <c r="C910" s="11"/>
      <c r="D910" s="11"/>
      <c r="E910" s="11"/>
      <c r="F910" s="11"/>
    </row>
    <row r="911" spans="1:6" ht="15.75" customHeight="1">
      <c r="A911" s="10"/>
      <c r="B911" s="11"/>
      <c r="C911" s="11"/>
      <c r="D911" s="11"/>
      <c r="E911" s="11"/>
      <c r="F911" s="11"/>
    </row>
    <row r="912" spans="1:6" ht="15.75" customHeight="1">
      <c r="A912" s="10"/>
      <c r="B912" s="11"/>
      <c r="C912" s="11"/>
      <c r="D912" s="11"/>
      <c r="E912" s="11"/>
      <c r="F912" s="11"/>
    </row>
    <row r="913" spans="1:6" ht="15.75" customHeight="1">
      <c r="A913" s="10"/>
      <c r="B913" s="11"/>
      <c r="C913" s="11"/>
      <c r="D913" s="11"/>
      <c r="E913" s="11"/>
      <c r="F913" s="11"/>
    </row>
    <row r="914" spans="1:6" ht="15.75" customHeight="1">
      <c r="A914" s="10"/>
      <c r="B914" s="11"/>
      <c r="C914" s="11"/>
      <c r="D914" s="11"/>
      <c r="E914" s="11"/>
      <c r="F914" s="11"/>
    </row>
    <row r="915" spans="1:6" ht="15.75" customHeight="1">
      <c r="A915" s="10"/>
      <c r="B915" s="11"/>
      <c r="C915" s="11"/>
      <c r="D915" s="11"/>
      <c r="E915" s="11"/>
      <c r="F915" s="11"/>
    </row>
    <row r="916" spans="1:6" ht="15.75" customHeight="1">
      <c r="A916" s="10"/>
      <c r="B916" s="11"/>
      <c r="C916" s="11"/>
      <c r="D916" s="11"/>
      <c r="E916" s="11"/>
      <c r="F916" s="11"/>
    </row>
    <row r="917" spans="1:6" ht="15.75" customHeight="1">
      <c r="A917" s="10"/>
      <c r="B917" s="11"/>
      <c r="C917" s="11"/>
      <c r="D917" s="11"/>
      <c r="E917" s="11"/>
      <c r="F917" s="11"/>
    </row>
    <row r="918" spans="1:6" ht="15.75" customHeight="1">
      <c r="A918" s="10"/>
      <c r="B918" s="11"/>
      <c r="C918" s="11"/>
      <c r="D918" s="11"/>
      <c r="E918" s="11"/>
      <c r="F918" s="11"/>
    </row>
    <row r="919" spans="1:6" ht="15.75" customHeight="1">
      <c r="A919" s="10"/>
      <c r="B919" s="11"/>
      <c r="C919" s="11"/>
      <c r="D919" s="11"/>
      <c r="E919" s="11"/>
      <c r="F919" s="11"/>
    </row>
    <row r="920" spans="1:6" ht="15.75" customHeight="1">
      <c r="A920" s="10"/>
      <c r="B920" s="11"/>
      <c r="C920" s="11"/>
      <c r="D920" s="11"/>
      <c r="E920" s="11"/>
      <c r="F920" s="11"/>
    </row>
    <row r="921" spans="1:6" ht="15.75" customHeight="1">
      <c r="A921" s="10"/>
      <c r="B921" s="11"/>
      <c r="C921" s="11"/>
      <c r="D921" s="11"/>
      <c r="E921" s="11"/>
      <c r="F921" s="11"/>
    </row>
    <row r="922" spans="1:6" ht="15.75" customHeight="1">
      <c r="A922" s="10"/>
      <c r="B922" s="11"/>
      <c r="C922" s="11"/>
      <c r="D922" s="11"/>
      <c r="E922" s="11"/>
      <c r="F922" s="11"/>
    </row>
    <row r="923" spans="1:6" ht="15.75" customHeight="1">
      <c r="A923" s="10"/>
      <c r="B923" s="11"/>
      <c r="C923" s="11"/>
      <c r="D923" s="11"/>
      <c r="E923" s="11"/>
      <c r="F923" s="11"/>
    </row>
    <row r="924" spans="1:6" ht="15.75" customHeight="1">
      <c r="A924" s="10"/>
      <c r="B924" s="11"/>
      <c r="C924" s="11"/>
      <c r="D924" s="11"/>
      <c r="E924" s="11"/>
      <c r="F924" s="11"/>
    </row>
    <row r="925" spans="1:6" ht="15.75" customHeight="1">
      <c r="A925" s="10"/>
      <c r="B925" s="11"/>
      <c r="C925" s="11"/>
      <c r="D925" s="11"/>
      <c r="E925" s="11"/>
      <c r="F925" s="11"/>
    </row>
    <row r="926" spans="1:6" ht="15.75" customHeight="1">
      <c r="A926" s="10"/>
      <c r="B926" s="11"/>
      <c r="C926" s="11"/>
      <c r="D926" s="11"/>
      <c r="E926" s="11"/>
      <c r="F926" s="11"/>
    </row>
    <row r="927" spans="1:6" ht="15.75" customHeight="1">
      <c r="A927" s="10"/>
      <c r="B927" s="11"/>
      <c r="C927" s="11"/>
      <c r="D927" s="11"/>
      <c r="E927" s="11"/>
      <c r="F927" s="11"/>
    </row>
    <row r="928" spans="1:6" ht="15.75" customHeight="1">
      <c r="A928" s="10"/>
      <c r="B928" s="11"/>
      <c r="C928" s="11"/>
      <c r="D928" s="11"/>
      <c r="E928" s="11"/>
      <c r="F928" s="11"/>
    </row>
    <row r="929" spans="1:6" ht="15.75" customHeight="1">
      <c r="A929" s="10"/>
      <c r="B929" s="11"/>
      <c r="C929" s="11"/>
      <c r="D929" s="11"/>
      <c r="E929" s="11"/>
      <c r="F929" s="11"/>
    </row>
    <row r="930" spans="1:6" ht="15.75" customHeight="1">
      <c r="A930" s="10"/>
      <c r="B930" s="11"/>
      <c r="C930" s="11"/>
      <c r="D930" s="11"/>
      <c r="E930" s="11"/>
      <c r="F930" s="11"/>
    </row>
    <row r="931" spans="1:6" ht="15.75" customHeight="1">
      <c r="A931" s="10"/>
      <c r="B931" s="11"/>
      <c r="C931" s="11"/>
      <c r="D931" s="11"/>
      <c r="E931" s="11"/>
      <c r="F931" s="11"/>
    </row>
    <row r="932" spans="1:6" ht="15.75" customHeight="1">
      <c r="A932" s="10"/>
      <c r="B932" s="11"/>
      <c r="C932" s="11"/>
      <c r="D932" s="11"/>
      <c r="E932" s="11"/>
      <c r="F932" s="11"/>
    </row>
    <row r="933" spans="1:6" ht="15.75" customHeight="1">
      <c r="A933" s="10"/>
      <c r="B933" s="11"/>
      <c r="C933" s="11"/>
      <c r="D933" s="11"/>
      <c r="E933" s="11"/>
      <c r="F933" s="11"/>
    </row>
    <row r="934" spans="1:6" ht="15.75" customHeight="1">
      <c r="A934" s="10"/>
      <c r="B934" s="11"/>
      <c r="C934" s="11"/>
      <c r="D934" s="11"/>
      <c r="E934" s="11"/>
      <c r="F934" s="11"/>
    </row>
    <row r="935" spans="1:6" ht="15.75" customHeight="1">
      <c r="A935" s="10"/>
      <c r="B935" s="11"/>
      <c r="C935" s="11"/>
      <c r="D935" s="11"/>
      <c r="E935" s="11"/>
      <c r="F935" s="11"/>
    </row>
    <row r="936" spans="1:6" ht="15.75" customHeight="1">
      <c r="A936" s="10"/>
      <c r="B936" s="11"/>
      <c r="C936" s="11"/>
      <c r="D936" s="11"/>
      <c r="E936" s="11"/>
      <c r="F936" s="11"/>
    </row>
    <row r="937" spans="1:6" ht="15.75" customHeight="1">
      <c r="A937" s="10"/>
      <c r="B937" s="11"/>
      <c r="C937" s="11"/>
      <c r="D937" s="11"/>
      <c r="E937" s="11"/>
      <c r="F937" s="11"/>
    </row>
    <row r="938" spans="1:6" ht="15.75" customHeight="1">
      <c r="A938" s="10"/>
      <c r="B938" s="11"/>
      <c r="C938" s="11"/>
      <c r="D938" s="11"/>
      <c r="E938" s="11"/>
      <c r="F938" s="11"/>
    </row>
    <row r="939" spans="1:6" ht="15.75" customHeight="1">
      <c r="A939" s="10"/>
      <c r="B939" s="11"/>
      <c r="C939" s="11"/>
      <c r="D939" s="11"/>
      <c r="E939" s="11"/>
      <c r="F939" s="11"/>
    </row>
    <row r="940" spans="1:6" ht="15.75" customHeight="1">
      <c r="A940" s="10"/>
      <c r="B940" s="11"/>
      <c r="C940" s="11"/>
      <c r="D940" s="11"/>
      <c r="E940" s="11"/>
      <c r="F940" s="11"/>
    </row>
    <row r="941" spans="1:6" ht="15.75" customHeight="1">
      <c r="A941" s="10"/>
      <c r="B941" s="11"/>
      <c r="C941" s="11"/>
      <c r="D941" s="11"/>
      <c r="E941" s="11"/>
      <c r="F941" s="11"/>
    </row>
    <row r="942" spans="1:6" ht="15.75" customHeight="1">
      <c r="A942" s="10"/>
      <c r="B942" s="11"/>
      <c r="C942" s="11"/>
      <c r="D942" s="11"/>
      <c r="E942" s="11"/>
      <c r="F942" s="11"/>
    </row>
    <row r="943" spans="1:6" ht="15.75" customHeight="1">
      <c r="A943" s="10"/>
      <c r="B943" s="11"/>
      <c r="C943" s="11"/>
      <c r="D943" s="11"/>
      <c r="E943" s="11"/>
      <c r="F943" s="11"/>
    </row>
    <row r="944" spans="1:6" ht="15.75" customHeight="1">
      <c r="A944" s="10"/>
      <c r="B944" s="11"/>
      <c r="C944" s="11"/>
      <c r="D944" s="11"/>
      <c r="E944" s="11"/>
      <c r="F944" s="11"/>
    </row>
    <row r="945" spans="1:6" ht="15.75" customHeight="1">
      <c r="A945" s="10"/>
      <c r="B945" s="11"/>
      <c r="C945" s="11"/>
      <c r="D945" s="11"/>
      <c r="E945" s="11"/>
      <c r="F945" s="11"/>
    </row>
    <row r="946" spans="1:6" ht="15.75" customHeight="1">
      <c r="A946" s="10"/>
      <c r="B946" s="11"/>
      <c r="C946" s="11"/>
      <c r="D946" s="11"/>
      <c r="E946" s="11"/>
      <c r="F946" s="11"/>
    </row>
    <row r="947" spans="1:6" ht="15.75" customHeight="1">
      <c r="A947" s="10"/>
      <c r="B947" s="11"/>
      <c r="C947" s="11"/>
      <c r="D947" s="11"/>
      <c r="E947" s="11"/>
      <c r="F947" s="11"/>
    </row>
    <row r="948" spans="1:6" ht="15.75" customHeight="1">
      <c r="A948" s="10"/>
      <c r="B948" s="11"/>
      <c r="C948" s="11"/>
      <c r="D948" s="11"/>
      <c r="E948" s="11"/>
      <c r="F948" s="11"/>
    </row>
    <row r="949" spans="1:6" ht="15.75" customHeight="1">
      <c r="A949" s="10"/>
      <c r="B949" s="11"/>
      <c r="C949" s="11"/>
      <c r="D949" s="11"/>
      <c r="E949" s="11"/>
      <c r="F949" s="11"/>
    </row>
    <row r="950" spans="1:6" ht="15.75" customHeight="1">
      <c r="A950" s="10"/>
      <c r="B950" s="11"/>
      <c r="C950" s="11"/>
      <c r="D950" s="11"/>
      <c r="E950" s="11"/>
      <c r="F950" s="11"/>
    </row>
    <row r="951" spans="1:6" ht="15.75" customHeight="1">
      <c r="A951" s="10"/>
      <c r="B951" s="11"/>
      <c r="C951" s="11"/>
      <c r="D951" s="11"/>
      <c r="E951" s="11"/>
      <c r="F951" s="11"/>
    </row>
    <row r="952" spans="1:6" ht="15.75" customHeight="1">
      <c r="A952" s="10"/>
      <c r="B952" s="11"/>
      <c r="C952" s="11"/>
      <c r="D952" s="11"/>
      <c r="E952" s="11"/>
      <c r="F952" s="11"/>
    </row>
    <row r="953" spans="1:6" ht="15.75" customHeight="1">
      <c r="A953" s="10"/>
      <c r="B953" s="11"/>
      <c r="C953" s="11"/>
      <c r="D953" s="11"/>
      <c r="E953" s="11"/>
      <c r="F953" s="11"/>
    </row>
    <row r="954" spans="1:6" ht="15.75" customHeight="1">
      <c r="A954" s="10"/>
      <c r="B954" s="11"/>
      <c r="C954" s="11"/>
      <c r="D954" s="11"/>
      <c r="E954" s="11"/>
      <c r="F954" s="11"/>
    </row>
    <row r="955" spans="1:6" ht="15.75" customHeight="1">
      <c r="A955" s="10"/>
      <c r="B955" s="11"/>
      <c r="C955" s="11"/>
      <c r="D955" s="11"/>
      <c r="E955" s="11"/>
      <c r="F955" s="11"/>
    </row>
    <row r="956" spans="1:6" ht="15.75" customHeight="1">
      <c r="A956" s="10"/>
      <c r="B956" s="11"/>
      <c r="C956" s="11"/>
      <c r="D956" s="11"/>
      <c r="E956" s="11"/>
      <c r="F956" s="11"/>
    </row>
    <row r="957" spans="1:6" ht="15.75" customHeight="1">
      <c r="A957" s="10"/>
      <c r="B957" s="11"/>
      <c r="C957" s="11"/>
      <c r="D957" s="11"/>
      <c r="E957" s="11"/>
      <c r="F957" s="11"/>
    </row>
    <row r="958" spans="1:6" ht="15.75" customHeight="1">
      <c r="A958" s="10"/>
      <c r="B958" s="11"/>
      <c r="C958" s="11"/>
      <c r="D958" s="11"/>
      <c r="E958" s="11"/>
      <c r="F958" s="11"/>
    </row>
    <row r="959" spans="1:6" ht="15.75" customHeight="1">
      <c r="A959" s="10"/>
      <c r="B959" s="11"/>
      <c r="C959" s="11"/>
      <c r="D959" s="11"/>
      <c r="E959" s="11"/>
      <c r="F959" s="11"/>
    </row>
    <row r="960" spans="1:6" ht="15.75" customHeight="1">
      <c r="A960" s="10"/>
      <c r="B960" s="11"/>
      <c r="C960" s="11"/>
      <c r="D960" s="11"/>
      <c r="E960" s="11"/>
      <c r="F960" s="11"/>
    </row>
    <row r="961" spans="1:6" ht="15.75" customHeight="1">
      <c r="A961" s="10"/>
      <c r="B961" s="11"/>
      <c r="C961" s="11"/>
      <c r="D961" s="11"/>
      <c r="E961" s="11"/>
      <c r="F961" s="11"/>
    </row>
    <row r="962" spans="1:6" ht="15.75" customHeight="1">
      <c r="A962" s="10"/>
      <c r="B962" s="11"/>
      <c r="C962" s="11"/>
      <c r="D962" s="11"/>
      <c r="E962" s="11"/>
      <c r="F962" s="11"/>
    </row>
    <row r="963" spans="1:6" ht="15.75" customHeight="1">
      <c r="A963" s="10"/>
      <c r="B963" s="11"/>
      <c r="C963" s="11"/>
      <c r="D963" s="11"/>
      <c r="E963" s="11"/>
      <c r="F963" s="11"/>
    </row>
    <row r="964" spans="1:6" ht="15.75" customHeight="1">
      <c r="A964" s="10"/>
      <c r="B964" s="11"/>
      <c r="C964" s="11"/>
      <c r="D964" s="11"/>
      <c r="E964" s="11"/>
      <c r="F964" s="11"/>
    </row>
    <row r="965" spans="1:6" ht="15.75" customHeight="1">
      <c r="A965" s="10"/>
      <c r="B965" s="11"/>
      <c r="C965" s="11"/>
      <c r="D965" s="11"/>
      <c r="E965" s="11"/>
      <c r="F965" s="11"/>
    </row>
    <row r="966" spans="1:6" ht="15.75" customHeight="1">
      <c r="A966" s="10"/>
      <c r="B966" s="11"/>
      <c r="C966" s="11"/>
      <c r="D966" s="11"/>
      <c r="E966" s="11"/>
      <c r="F966" s="11"/>
    </row>
    <row r="967" spans="1:6" ht="15.75" customHeight="1">
      <c r="A967" s="10"/>
      <c r="B967" s="11"/>
      <c r="C967" s="11"/>
      <c r="D967" s="11"/>
      <c r="E967" s="11"/>
      <c r="F967" s="11"/>
    </row>
    <row r="968" spans="1:6" ht="15.75" customHeight="1">
      <c r="A968" s="10"/>
      <c r="B968" s="11"/>
      <c r="C968" s="11"/>
      <c r="D968" s="11"/>
      <c r="E968" s="11"/>
      <c r="F968" s="11"/>
    </row>
    <row r="969" spans="1:6" ht="15.75" customHeight="1">
      <c r="A969" s="10"/>
      <c r="B969" s="11"/>
      <c r="C969" s="11"/>
      <c r="D969" s="11"/>
      <c r="E969" s="11"/>
      <c r="F969" s="11"/>
    </row>
    <row r="970" spans="1:6" ht="15.75" customHeight="1">
      <c r="A970" s="10"/>
      <c r="B970" s="11"/>
      <c r="C970" s="11"/>
      <c r="D970" s="11"/>
      <c r="E970" s="11"/>
      <c r="F970" s="11"/>
    </row>
    <row r="971" spans="1:6" ht="15.75" customHeight="1">
      <c r="A971" s="10"/>
      <c r="B971" s="11"/>
      <c r="C971" s="11"/>
      <c r="D971" s="11"/>
      <c r="E971" s="11"/>
      <c r="F971" s="11"/>
    </row>
    <row r="972" spans="1:6" ht="15.75" customHeight="1">
      <c r="A972" s="10"/>
      <c r="B972" s="11"/>
      <c r="C972" s="11"/>
      <c r="D972" s="11"/>
      <c r="E972" s="11"/>
      <c r="F972" s="11"/>
    </row>
  </sheetData>
  <printOptions horizontalCentered="1"/>
  <pageMargins left="0.7" right="0.7" top="0.75" bottom="0.75" header="0" footer="0"/>
  <pageSetup paperSize="9"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23D96B"/>
  </sheetPr>
  <dimension ref="A1:AD988"/>
  <sheetViews>
    <sheetView workbookViewId="0"/>
  </sheetViews>
  <sheetFormatPr defaultColWidth="11.25" defaultRowHeight="15" customHeight="1"/>
  <cols>
    <col min="1" max="1" width="6.75" customWidth="1"/>
    <col min="2" max="2" width="53.375" customWidth="1"/>
    <col min="3" max="3" width="25.375" customWidth="1"/>
    <col min="4" max="4" width="31.5" customWidth="1"/>
    <col min="5" max="5" width="31.625" customWidth="1"/>
    <col min="6" max="6" width="48.625" customWidth="1"/>
    <col min="7" max="30" width="10" customWidth="1"/>
  </cols>
  <sheetData>
    <row r="1" spans="1:30">
      <c r="A1" s="67"/>
      <c r="B1" s="67" t="s">
        <v>0</v>
      </c>
      <c r="C1" s="67"/>
      <c r="D1" s="67" t="s">
        <v>1</v>
      </c>
      <c r="E1" s="67" t="s">
        <v>2</v>
      </c>
      <c r="F1" s="67" t="s">
        <v>3</v>
      </c>
      <c r="G1" s="1"/>
      <c r="H1" s="1"/>
      <c r="I1" s="1"/>
      <c r="J1" s="1"/>
      <c r="K1" s="1"/>
      <c r="L1" s="1"/>
      <c r="M1" s="1"/>
      <c r="N1" s="1"/>
      <c r="O1" s="1"/>
      <c r="P1" s="1"/>
      <c r="Q1" s="1"/>
      <c r="R1" s="1"/>
      <c r="S1" s="1"/>
      <c r="T1" s="1"/>
      <c r="U1" s="1"/>
      <c r="V1" s="1"/>
      <c r="W1" s="1"/>
      <c r="X1" s="1"/>
      <c r="Y1" s="1"/>
      <c r="Z1" s="1"/>
      <c r="AA1" s="1"/>
      <c r="AB1" s="1"/>
      <c r="AC1" s="1"/>
      <c r="AD1" s="1"/>
    </row>
    <row r="2" spans="1:30" ht="30.75" customHeight="1">
      <c r="A2" s="73"/>
      <c r="B2" s="73" t="s">
        <v>239</v>
      </c>
      <c r="C2" s="73"/>
      <c r="D2" s="73" t="str">
        <f ca="1">IFERROR(__xludf.DUMMYFUNCTION("GOOGLETRANSLATE($B2,(""auto""),(""es""))"),"B0 - Asamblea de canasta delantera")</f>
        <v>B0 - Asamblea de canasta delantera</v>
      </c>
      <c r="E2" s="73" t="str">
        <f ca="1">IFERROR(__xludf.DUMMYFUNCTION("GOOGLETRANSLATE($B2,(""auto""),(""FR""))"),"B0 - Assemblée du panier avant")</f>
        <v>B0 - Assemblée du panier avant</v>
      </c>
      <c r="F2" s="73" t="str">
        <f ca="1">IFERROR(__xludf.DUMMYFUNCTION("GOOGLETRANSLATE($B2,(""auto""),(""IT""))"),"B0 - Gruppo del cestino frontale")</f>
        <v>B0 - Gruppo del cestino frontale</v>
      </c>
      <c r="G2" s="9"/>
      <c r="H2" s="9"/>
      <c r="I2" s="9"/>
      <c r="J2" s="9"/>
      <c r="K2" s="9"/>
      <c r="L2" s="9"/>
      <c r="M2" s="9"/>
      <c r="N2" s="9"/>
      <c r="O2" s="9"/>
      <c r="P2" s="9"/>
      <c r="Q2" s="9"/>
      <c r="R2" s="9"/>
      <c r="S2" s="9"/>
      <c r="T2" s="9"/>
      <c r="U2" s="9"/>
      <c r="V2" s="9"/>
      <c r="W2" s="9"/>
      <c r="X2" s="9"/>
      <c r="Y2" s="9"/>
      <c r="Z2" s="9"/>
      <c r="AA2" s="9"/>
      <c r="AB2" s="9"/>
      <c r="AC2" s="9"/>
      <c r="AD2" s="9"/>
    </row>
    <row r="3" spans="1:30">
      <c r="A3" s="69" t="s">
        <v>150</v>
      </c>
      <c r="B3" s="70" t="s">
        <v>151</v>
      </c>
      <c r="C3" s="70" t="s">
        <v>152</v>
      </c>
      <c r="D3" s="70" t="str">
        <f ca="1">IFERROR(__xludf.DUMMYFUNCTION("GOOGLETRANSLATE(B3,(""auto""),(""es""))"),"Descripción")</f>
        <v>Descripción</v>
      </c>
      <c r="E3" s="70" t="str">
        <f ca="1">IFERROR(__xludf.DUMMYFUNCTION("GOOGLETRANSLATE(B3,(""auto""),(""fr""))"),"Description")</f>
        <v>Description</v>
      </c>
      <c r="F3" s="70" t="str">
        <f ca="1">IFERROR(__xludf.DUMMYFUNCTION("GOOGLETRANSLATE(D3,(""auto""),(""IT""))"),"Descrizione")</f>
        <v>Descrizione</v>
      </c>
    </row>
    <row r="4" spans="1:30" ht="70.5" customHeight="1">
      <c r="A4" s="10">
        <v>1</v>
      </c>
      <c r="B4" s="11" t="s">
        <v>240</v>
      </c>
      <c r="C4" s="11"/>
      <c r="D4" s="11" t="str">
        <f ca="1">IFERROR(__xludf.DUMMYFUNCTION("GOOGLETRANSLATE($B4,(""auto""),(""es""))"),"Use una manga de clavos de 12 mm para eliminar los tres pernos en el círculo rojo y la canasta delantera")</f>
        <v>Use una manga de clavos de 12 mm para eliminar los tres pernos en el círculo rojo y la canasta delantera</v>
      </c>
      <c r="E4" s="11" t="str">
        <f ca="1">IFERROR(__xludf.DUMMYFUNCTION("GOOGLETRANSLATE($B4,(""auto""),(""FR""))"),"Utilisez le manchon de l'ongle de 12 mm pour retirer les trois boulons du cercle rouge et le panier avant")</f>
        <v>Utilisez le manchon de l'ongle de 12 mm pour retirer les trois boulons du cercle rouge et le panier avant</v>
      </c>
      <c r="F4" s="11" t="str">
        <f ca="1">IFERROR(__xludf.DUMMYFUNCTION("GOOGLETRANSLATE($B4,(""auto""),(""IT""))"),"Utilizzare la manica per unghie da 12 mm per rimuovere i tre bulloni nel cerchio rosso e il cestino anteriore")</f>
        <v>Utilizzare la manica per unghie da 12 mm per rimuovere i tre bulloni nel cerchio rosso e il cestino anteriore</v>
      </c>
    </row>
    <row r="5" spans="1:30" ht="26.25" customHeight="1">
      <c r="A5" s="73"/>
      <c r="B5" s="73" t="s">
        <v>241</v>
      </c>
      <c r="C5" s="73"/>
      <c r="D5" s="73" t="s">
        <v>242</v>
      </c>
      <c r="E5" s="73" t="str">
        <f ca="1">IFERROR(__xludf.DUMMYFUNCTION("GOOGLETRANSLATE($D5,(""auto""),(""FR""))"),"Ensemble de bouclier avant B-1")</f>
        <v>Ensemble de bouclier avant B-1</v>
      </c>
      <c r="F5" s="73" t="str">
        <f ca="1">IFERROR(__xludf.DUMMYFUNCTION("GOOGLETRANSLATE($D5,(""auto""),(""IT""))"),"Gruppo scudo anteriore b-1")</f>
        <v>Gruppo scudo anteriore b-1</v>
      </c>
      <c r="G5" s="9"/>
      <c r="H5" s="9"/>
      <c r="I5" s="9"/>
      <c r="J5" s="9"/>
      <c r="K5" s="9"/>
      <c r="L5" s="9"/>
      <c r="M5" s="9"/>
      <c r="N5" s="9"/>
      <c r="O5" s="9"/>
      <c r="P5" s="9"/>
      <c r="Q5" s="9"/>
      <c r="R5" s="9"/>
      <c r="S5" s="9"/>
      <c r="T5" s="9"/>
      <c r="U5" s="9"/>
      <c r="V5" s="9"/>
      <c r="W5" s="9"/>
      <c r="X5" s="9"/>
      <c r="Y5" s="9"/>
      <c r="Z5" s="9"/>
      <c r="AA5" s="9"/>
      <c r="AB5" s="9"/>
      <c r="AC5" s="9"/>
      <c r="AD5" s="9"/>
    </row>
    <row r="6" spans="1:30">
      <c r="A6" s="69" t="s">
        <v>145</v>
      </c>
      <c r="B6" s="70" t="s">
        <v>146</v>
      </c>
      <c r="C6" s="70" t="s">
        <v>147</v>
      </c>
      <c r="D6" s="70" t="str">
        <f ca="1">IFERROR(__xludf.DUMMYFUNCTION("GOOGLETRANSLATE(B6,(""auto""),(""es""))"),"Preparación:")</f>
        <v>Preparación:</v>
      </c>
      <c r="E6" s="70" t="str">
        <f ca="1">IFERROR(__xludf.DUMMYFUNCTION("GOOGLETRANSLATE(B6,(""auto""),(""fr""))"),"Préparation:")</f>
        <v>Préparation:</v>
      </c>
      <c r="F6" s="70" t="str">
        <f ca="1">IFERROR(__xludf.DUMMYFUNCTION("GOOGLETRANSLATE(D6,(""auto""),(""IT""))"),"Preparazione:")</f>
        <v>Preparazione:</v>
      </c>
    </row>
    <row r="7" spans="1:30" ht="26.25" customHeight="1">
      <c r="A7" s="10">
        <v>1</v>
      </c>
      <c r="B7" s="11" t="s">
        <v>156</v>
      </c>
      <c r="C7" s="11"/>
      <c r="D7" s="11" t="str">
        <f ca="1">IFERROR(__xludf.DUMMYFUNCTION("GOOGLETRANSLATE($B7,(""auto""),(""es""))"),"Retire la canasta delantera - B0")</f>
        <v>Retire la canasta delantera - B0</v>
      </c>
      <c r="E7" s="11" t="str">
        <f ca="1">IFERROR(__xludf.DUMMYFUNCTION("GOOGLETRANSLATE($B7,(""auto""),(""FR""))"),"Retirez le panier avant - B0")</f>
        <v>Retirez le panier avant - B0</v>
      </c>
      <c r="F7" s="11" t="str">
        <f ca="1">IFERROR(__xludf.DUMMYFUNCTION("GOOGLETRANSLATE($B7,(""auto""),(""IT""))"),"Rimuovere il cestino anteriore - B0")</f>
        <v>Rimuovere il cestino anteriore - B0</v>
      </c>
    </row>
    <row r="8" spans="1:30">
      <c r="A8" s="69" t="s">
        <v>150</v>
      </c>
      <c r="B8" s="70" t="s">
        <v>151</v>
      </c>
      <c r="C8" s="70" t="s">
        <v>152</v>
      </c>
      <c r="D8" s="70" t="str">
        <f ca="1">IFERROR(__xludf.DUMMYFUNCTION("GOOGLETRANSLATE(B8,(""auto""),(""es""))"),"Descripción")</f>
        <v>Descripción</v>
      </c>
      <c r="E8" s="70" t="str">
        <f ca="1">IFERROR(__xludf.DUMMYFUNCTION("GOOGLETRANSLATE(B8,(""auto""),(""fr""))"),"Description")</f>
        <v>Description</v>
      </c>
      <c r="F8" s="70" t="str">
        <f ca="1">IFERROR(__xludf.DUMMYFUNCTION("GOOGLETRANSLATE(D8,(""auto""),(""IT""))"),"Descrizione")</f>
        <v>Descrizione</v>
      </c>
    </row>
    <row r="9" spans="1:30" ht="89.25" customHeight="1">
      <c r="A9" s="10">
        <v>1</v>
      </c>
      <c r="B9" s="11" t="s">
        <v>243</v>
      </c>
      <c r="C9" s="11"/>
      <c r="D9" s="11" t="str">
        <f ca="1">IFERROR(__xludf.DUMMYFUNCTION("GOOGLETRANSLATE($B9,(""auto""),(""es""))"),"
Retire los dos tornillos en el círculo rojo con un destornillador de Phillips y retire la cubierta delantera")</f>
        <v xml:space="preserve">
Retire los dos tornillos en el círculo rojo con un destornillador de Phillips y retire la cubierta delantera</v>
      </c>
      <c r="E9" s="11" t="str">
        <f ca="1">IFERROR(__xludf.DUMMYFUNCTION("GOOGLETRANSLATE($B9,(""auto""),(""FR""))"),"
Retirez les deux vis dans le cercle rouge avec un tournevis Phillips et retirez le couvercle avant")</f>
        <v xml:space="preserve">
Retirez les deux vis dans le cercle rouge avec un tournevis Phillips et retirez le couvercle avant</v>
      </c>
      <c r="F9" s="11" t="str">
        <f ca="1">IFERROR(__xludf.DUMMYFUNCTION("GOOGLETRANSLATE($B9,(""auto""),(""IT""))"),"
Rimuovere le due viti nel cerchio rosso con un cacciavite Phillips e rimuovere il coperchio anteriore")</f>
        <v xml:space="preserve">
Rimuovere le due viti nel cerchio rosso con un cacciavite Phillips e rimuovere il coperchio anteriore</v>
      </c>
    </row>
    <row r="10" spans="1:30" ht="26.25" customHeight="1">
      <c r="A10" s="73"/>
      <c r="B10" s="73" t="s">
        <v>244</v>
      </c>
      <c r="C10" s="73"/>
      <c r="D10" s="73" t="str">
        <f ca="1">IFERROR(__xludf.DUMMYFUNCTION("GOOGLETRANSLATE($B10,(""auto""),(""es""))"),"B2 - portador trasero")</f>
        <v>B2 - portador trasero</v>
      </c>
      <c r="E10" s="73" t="str">
        <f ca="1">IFERROR(__xludf.DUMMYFUNCTION("GOOGLETRANSLATE($B10,(""auto""),(""FR""))"),"B2 - Carrier arrière")</f>
        <v>B2 - Carrier arrière</v>
      </c>
      <c r="F10" s="73" t="str">
        <f ca="1">IFERROR(__xludf.DUMMYFUNCTION("GOOGLETRANSLATE(D10,(""auto""),(""IT""))"),"B2 - portatore posteriore")</f>
        <v>B2 - portatore posteriore</v>
      </c>
      <c r="G10" s="9"/>
      <c r="H10" s="9"/>
      <c r="I10" s="9"/>
      <c r="J10" s="9"/>
      <c r="K10" s="9"/>
      <c r="L10" s="9"/>
      <c r="M10" s="9"/>
      <c r="N10" s="9"/>
      <c r="O10" s="9"/>
      <c r="P10" s="9"/>
      <c r="Q10" s="9"/>
      <c r="R10" s="9"/>
      <c r="S10" s="9"/>
      <c r="T10" s="9"/>
      <c r="U10" s="9"/>
      <c r="V10" s="9"/>
      <c r="W10" s="9"/>
      <c r="X10" s="9"/>
      <c r="Y10" s="9"/>
      <c r="Z10" s="9"/>
      <c r="AA10" s="9"/>
      <c r="AB10" s="9"/>
      <c r="AC10" s="9"/>
      <c r="AD10" s="9"/>
    </row>
    <row r="11" spans="1:30">
      <c r="A11" s="69" t="s">
        <v>150</v>
      </c>
      <c r="B11" s="70" t="s">
        <v>151</v>
      </c>
      <c r="C11" s="70" t="s">
        <v>152</v>
      </c>
      <c r="D11" s="70" t="str">
        <f ca="1">IFERROR(__xludf.DUMMYFUNCTION("GOOGLETRANSLATE(B11,(""auto""),(""es""))"),"Descripción")</f>
        <v>Descripción</v>
      </c>
      <c r="E11" s="70" t="str">
        <f ca="1">IFERROR(__xludf.DUMMYFUNCTION("GOOGLETRANSLATE(B11,(""auto""),(""fr""))"),"Description")</f>
        <v>Description</v>
      </c>
      <c r="F11" s="70" t="str">
        <f ca="1">IFERROR(__xludf.DUMMYFUNCTION("GOOGLETRANSLATE(D11,(""auto""),(""IT""))"),"Descrizione")</f>
        <v>Descrizione</v>
      </c>
    </row>
    <row r="12" spans="1:30" ht="94.5" customHeight="1">
      <c r="A12" s="10">
        <v>1</v>
      </c>
      <c r="B12" s="11" t="s">
        <v>245</v>
      </c>
      <c r="C12" s="11"/>
      <c r="D12" s="11" t="str">
        <f ca="1">IFERROR(__xludf.DUMMYFUNCTION("GOOGLETRANSLATE($B12,(""auto""),(""es""))"),"
Use una manga de clavos de 12 mm para eliminar los tres pernos en el círculo rojo y el portador trasero")</f>
        <v xml:space="preserve">
Use una manga de clavos de 12 mm para eliminar los tres pernos en el círculo rojo y el portador trasero</v>
      </c>
      <c r="E12" s="11" t="str">
        <f ca="1">IFERROR(__xludf.DUMMYFUNCTION("GOOGLETRANSLATE($B12,(""auto""),(""FR""))"),"
Utilisez le manchon de l'ongle de 12 mm pour retirer les trois boulons dans le cercle rouge et le support arrière")</f>
        <v xml:space="preserve">
Utilisez le manchon de l'ongle de 12 mm pour retirer les trois boulons dans le cercle rouge et le support arrière</v>
      </c>
      <c r="F12" s="11" t="str">
        <f ca="1">IFERROR(__xludf.DUMMYFUNCTION("GOOGLETRANSLATE($B12,(""auto""),(""IT""))"),"
Utilizzare la manica per unghie da 12 mm per rimuovere i tre bulloni nel cerchio rosso e il portatore posteriore")</f>
        <v xml:space="preserve">
Utilizzare la manica per unghie da 12 mm per rimuovere i tre bulloni nel cerchio rosso e il portatore posteriore</v>
      </c>
    </row>
    <row r="13" spans="1:30" ht="26.25" customHeight="1">
      <c r="A13" s="73"/>
      <c r="B13" s="73" t="s">
        <v>246</v>
      </c>
      <c r="C13" s="73"/>
      <c r="D13" s="73" t="str">
        <f ca="1">IFERROR(__xludf.DUMMYFUNCTION("GOOGLETRANSLATE($B13,(""auto""),(""es""))"),"B3 - Placa eléctrica")</f>
        <v>B3 - Placa eléctrica</v>
      </c>
      <c r="E13" s="73" t="str">
        <f ca="1">IFERROR(__xludf.DUMMYFUNCTION("GOOGLETRANSLATE($B13,(""auto""),(""FR""))"),"B3 - plaque électrique")</f>
        <v>B3 - plaque électrique</v>
      </c>
      <c r="F13" s="73" t="str">
        <f ca="1">IFERROR(__xludf.DUMMYFUNCTION("GOOGLETRANSLATE($B13,(""auto""),(""IT""))"),"B3 - Piatta elettrica")</f>
        <v>B3 - Piatta elettrica</v>
      </c>
      <c r="G13" s="9"/>
      <c r="H13" s="9"/>
      <c r="I13" s="9"/>
      <c r="J13" s="9"/>
      <c r="K13" s="9"/>
      <c r="L13" s="9"/>
      <c r="M13" s="9"/>
      <c r="N13" s="9"/>
      <c r="O13" s="9"/>
      <c r="P13" s="9"/>
      <c r="Q13" s="9"/>
      <c r="R13" s="9"/>
      <c r="S13" s="9"/>
      <c r="T13" s="9"/>
      <c r="U13" s="9"/>
      <c r="V13" s="9"/>
      <c r="W13" s="9"/>
      <c r="X13" s="9"/>
      <c r="Y13" s="9"/>
      <c r="Z13" s="9"/>
      <c r="AA13" s="9"/>
      <c r="AB13" s="9"/>
      <c r="AC13" s="9"/>
      <c r="AD13" s="9"/>
    </row>
    <row r="14" spans="1:30">
      <c r="A14" s="69" t="s">
        <v>145</v>
      </c>
      <c r="B14" s="70" t="s">
        <v>146</v>
      </c>
      <c r="C14" s="70" t="s">
        <v>147</v>
      </c>
      <c r="D14" s="70" t="str">
        <f ca="1">IFERROR(__xludf.DUMMYFUNCTION("GOOGLETRANSLATE(B14,(""auto""),(""es""))"),"Preparación:")</f>
        <v>Preparación:</v>
      </c>
      <c r="E14" s="70" t="str">
        <f ca="1">IFERROR(__xludf.DUMMYFUNCTION("GOOGLETRANSLATE(B14,(""auto""),(""fr""))"),"Préparation:")</f>
        <v>Préparation:</v>
      </c>
      <c r="F14" s="70" t="str">
        <f ca="1">IFERROR(__xludf.DUMMYFUNCTION("GOOGLETRANSLATE(D14,(""auto""),(""IT""))"),"Preparazione:")</f>
        <v>Preparazione:</v>
      </c>
    </row>
    <row r="15" spans="1:30" ht="26.25" customHeight="1">
      <c r="A15" s="10">
        <v>1</v>
      </c>
      <c r="B15" s="11" t="s">
        <v>156</v>
      </c>
      <c r="C15" s="11"/>
      <c r="D15" s="11" t="str">
        <f ca="1">IFERROR(__xludf.DUMMYFUNCTION("GOOGLETRANSLATE($B15,(""auto""),(""es""))"),"Retire la canasta delantera - B0")</f>
        <v>Retire la canasta delantera - B0</v>
      </c>
      <c r="E15" s="11" t="str">
        <f ca="1">IFERROR(__xludf.DUMMYFUNCTION("GOOGLETRANSLATE($B15,(""auto""),(""FR""))"),"Retirez le panier avant - B0")</f>
        <v>Retirez le panier avant - B0</v>
      </c>
      <c r="F15" s="11" t="str">
        <f ca="1">IFERROR(__xludf.DUMMYFUNCTION("GOOGLETRANSLATE($B15,(""auto""),(""IT""))"),"Rimuovere il cestino anteriore - B0")</f>
        <v>Rimuovere il cestino anteriore - B0</v>
      </c>
    </row>
    <row r="16" spans="1:30" ht="26.25" customHeight="1">
      <c r="A16" s="10">
        <v>2</v>
      </c>
      <c r="B16" s="11" t="s">
        <v>149</v>
      </c>
      <c r="C16" s="11"/>
      <c r="D16" s="11" t="str">
        <f ca="1">IFERROR(__xludf.DUMMYFUNCTION("GOOGLETRANSLATE($B16,(""auto""),(""es""))"),"Retire la cubierta frontal - B1")</f>
        <v>Retire la cubierta frontal - B1</v>
      </c>
      <c r="E16" s="11" t="str">
        <f ca="1">IFERROR(__xludf.DUMMYFUNCTION("GOOGLETRANSLATE($B16,(""auto""),(""FR""))"),"Retirez le couvercle avant - B1")</f>
        <v>Retirez le couvercle avant - B1</v>
      </c>
      <c r="F16" s="11" t="str">
        <f ca="1">IFERROR(__xludf.DUMMYFUNCTION("GOOGLETRANSLATE($B16,(""auto""),(""IT""))"),"Rimuovere il coperchio anteriore - B1")</f>
        <v>Rimuovere il coperchio anteriore - B1</v>
      </c>
    </row>
    <row r="17" spans="1:30">
      <c r="A17" s="69" t="s">
        <v>150</v>
      </c>
      <c r="B17" s="70" t="s">
        <v>151</v>
      </c>
      <c r="C17" s="70" t="s">
        <v>152</v>
      </c>
      <c r="D17" s="70" t="str">
        <f ca="1">IFERROR(__xludf.DUMMYFUNCTION("GOOGLETRANSLATE(B17,(""auto""),(""es""))"),"Descripción")</f>
        <v>Descripción</v>
      </c>
      <c r="E17" s="70" t="str">
        <f ca="1">IFERROR(__xludf.DUMMYFUNCTION("GOOGLETRANSLATE(B17,(""auto""),(""fr""))"),"Description")</f>
        <v>Description</v>
      </c>
      <c r="F17" s="70" t="str">
        <f ca="1">IFERROR(__xludf.DUMMYFUNCTION("GOOGLETRANSLATE(D17,(""auto""),(""IT""))"),"Descrizione")</f>
        <v>Descrizione</v>
      </c>
    </row>
    <row r="18" spans="1:30" ht="135.75" customHeight="1">
      <c r="A18" s="10">
        <v>1</v>
      </c>
      <c r="B18" s="11" t="s">
        <v>247</v>
      </c>
      <c r="C18" s="13"/>
      <c r="D18" s="11" t="str">
        <f ca="1">IFERROR(__xludf.DUMMYFUNCTION("GOOGLETRANSLATE($B18,(""auto""),(""es""))"),"Use una manga de 10 mm para quitar los tres tornillos en el círculo rojo y retire la placa eléctrica.")</f>
        <v>Use una manga de 10 mm para quitar los tres tornillos en el círculo rojo y retire la placa eléctrica.</v>
      </c>
      <c r="E18" s="11" t="str">
        <f ca="1">IFERROR(__xludf.DUMMYFUNCTION("GOOGLETRANSLATE($B18,(""auto""),(""FR""))"),"Utilisez le manchon de 10 mm pour retirer les trois vis dans le cercle rouge et retirer la plaque électrique.")</f>
        <v>Utilisez le manchon de 10 mm pour retirer les trois vis dans le cercle rouge et retirer la plaque électrique.</v>
      </c>
      <c r="F18" s="11" t="str">
        <f ca="1">IFERROR(__xludf.DUMMYFUNCTION("GOOGLETRANSLATE($B18,(""auto""),(""IT""))"),"Utilizzare la manica da 10 mm per rimuovere le tre viti nel cerchio rosso e rimuovere la piastra elettrica.")</f>
        <v>Utilizzare la manica da 10 mm per rimuovere le tre viti nel cerchio rosso e rimuovere la piastra elettrica.</v>
      </c>
    </row>
    <row r="19" spans="1:30" ht="26.25" customHeight="1">
      <c r="A19" s="73"/>
      <c r="B19" s="73" t="s">
        <v>248</v>
      </c>
      <c r="C19" s="73"/>
      <c r="D19" s="73" t="str">
        <f ca="1">IFERROR(__xludf.DUMMYFUNCTION("GOOGLETRANSLATE($B19,(""auto""),(""es""))"),"B4 - Cubierta central trasera")</f>
        <v>B4 - Cubierta central trasera</v>
      </c>
      <c r="E19" s="73" t="str">
        <f ca="1">IFERROR(__xludf.DUMMYFUNCTION("GOOGLETRANSLATE($B19,(""auto""),(""FR""))"),"B4 - Couvercle central arrière")</f>
        <v>B4 - Couvercle central arrière</v>
      </c>
      <c r="F19" s="73" t="str">
        <f ca="1">IFERROR(__xludf.DUMMYFUNCTION("GOOGLETRANSLATE($B19,(""auto""),(""IT""))"),"B4 - Coperchio centrale posteriore")</f>
        <v>B4 - Coperchio centrale posteriore</v>
      </c>
      <c r="G19" s="9"/>
      <c r="H19" s="9"/>
      <c r="I19" s="9"/>
      <c r="J19" s="9"/>
      <c r="K19" s="9"/>
      <c r="L19" s="9"/>
      <c r="M19" s="9"/>
      <c r="N19" s="9"/>
      <c r="O19" s="9"/>
      <c r="P19" s="9"/>
      <c r="Q19" s="9"/>
      <c r="R19" s="9"/>
      <c r="S19" s="9"/>
      <c r="T19" s="9"/>
      <c r="U19" s="9"/>
      <c r="V19" s="9"/>
      <c r="W19" s="9"/>
      <c r="X19" s="9"/>
      <c r="Y19" s="9"/>
      <c r="Z19" s="9"/>
      <c r="AA19" s="9"/>
      <c r="AB19" s="9"/>
      <c r="AC19" s="9"/>
      <c r="AD19" s="9"/>
    </row>
    <row r="20" spans="1:30">
      <c r="A20" s="69" t="s">
        <v>145</v>
      </c>
      <c r="B20" s="70" t="s">
        <v>146</v>
      </c>
      <c r="C20" s="70" t="s">
        <v>147</v>
      </c>
      <c r="D20" s="70" t="str">
        <f ca="1">IFERROR(__xludf.DUMMYFUNCTION("GOOGLETRANSLATE(B20,(""auto""),(""es""))"),"Preparación:")</f>
        <v>Preparación:</v>
      </c>
      <c r="E20" s="70" t="str">
        <f ca="1">IFERROR(__xludf.DUMMYFUNCTION("GOOGLETRANSLATE(B20,(""auto""),(""fr""))"),"Préparation:")</f>
        <v>Préparation:</v>
      </c>
      <c r="F20" s="70" t="str">
        <f ca="1">IFERROR(__xludf.DUMMYFUNCTION("GOOGLETRANSLATE(D20,(""auto""),(""IT""))"),"Preparazione:")</f>
        <v>Preparazione:</v>
      </c>
    </row>
    <row r="21" spans="1:30">
      <c r="A21" s="10">
        <v>1</v>
      </c>
      <c r="B21" s="11" t="s">
        <v>190</v>
      </c>
      <c r="C21" s="11"/>
      <c r="D21" s="11" t="str">
        <f ca="1">IFERROR(__xludf.DUMMYFUNCTION("GOOGLETRANSLATE($B21,(""auto""),(""es""))"),"Saque la cubierta del compartimento de la batería - B23")</f>
        <v>Saque la cubierta del compartimento de la batería - B23</v>
      </c>
      <c r="E21" s="11" t="str">
        <f ca="1">IFERROR(__xludf.DUMMYFUNCTION("GOOGLETRANSLATE($B21,(""auto""),(""FR""))"),"Sortez le couvercle du compartiment de la batterie - B23")</f>
        <v>Sortez le couvercle du compartiment de la batterie - B23</v>
      </c>
      <c r="F21" s="11" t="str">
        <f ca="1">IFERROR(__xludf.DUMMYFUNCTION("GOOGLETRANSLATE($B21,(""auto""),(""IT""))"),"Elimina la copertura del vano batteria - B23")</f>
        <v>Elimina la copertura del vano batteria - B23</v>
      </c>
    </row>
    <row r="22" spans="1:30">
      <c r="A22" s="10">
        <v>2</v>
      </c>
      <c r="B22" s="11" t="s">
        <v>249</v>
      </c>
      <c r="C22" s="11"/>
      <c r="D22" s="11" t="str">
        <f ca="1">IFERROR(__xludf.DUMMYFUNCTION("GOOGLETRANSLATE($B22,(""auto""),(""es""))"),"Saque la batería de litio - A9")</f>
        <v>Saque la batería de litio - A9</v>
      </c>
      <c r="E22" s="11" t="str">
        <f ca="1">IFERROR(__xludf.DUMMYFUNCTION("GOOGLETRANSLATE($B22,(""auto""),(""FR""))"),"Sortez la batterie au lithium - A9")</f>
        <v>Sortez la batterie au lithium - A9</v>
      </c>
      <c r="F22" s="11" t="str">
        <f ca="1">IFERROR(__xludf.DUMMYFUNCTION("GOOGLETRANSLATE($B22,(""auto""),(""IT""))"),"Elimina la batteria al litio - A9")</f>
        <v>Elimina la batteria al litio - A9</v>
      </c>
    </row>
    <row r="23" spans="1:30">
      <c r="A23" s="10">
        <v>3</v>
      </c>
      <c r="B23" s="11" t="s">
        <v>250</v>
      </c>
      <c r="C23" s="11"/>
      <c r="D23" s="11" t="str">
        <f ca="1">IFERROR(__xludf.DUMMYFUNCTION("GOOGLETRANSLATE($B23,(""auto""),(""es""))"),"Caja de equipaje - B24")</f>
        <v>Caja de equipaje - B24</v>
      </c>
      <c r="E23" s="11" t="str">
        <f ca="1">IFERROR(__xludf.DUMMYFUNCTION("GOOGLETRANSLATE($B23,(""auto""),(""FR""))"),"Boîte à bagages - B24")</f>
        <v>Boîte à bagages - B24</v>
      </c>
      <c r="F23" s="11" t="str">
        <f ca="1">IFERROR(__xludf.DUMMYFUNCTION("GOOGLETRANSLATE($B23,(""auto""),(""IT""))"),"BAGGIO BOX - B24")</f>
        <v>BAGGIO BOX - B24</v>
      </c>
    </row>
    <row r="24" spans="1:30">
      <c r="A24" s="69" t="s">
        <v>150</v>
      </c>
      <c r="B24" s="70" t="s">
        <v>151</v>
      </c>
      <c r="C24" s="70" t="s">
        <v>152</v>
      </c>
      <c r="D24" s="70" t="str">
        <f ca="1">IFERROR(__xludf.DUMMYFUNCTION("GOOGLETRANSLATE(B24,(""auto""),(""es""))"),"Descripción")</f>
        <v>Descripción</v>
      </c>
      <c r="E24" s="70" t="str">
        <f ca="1">IFERROR(__xludf.DUMMYFUNCTION("GOOGLETRANSLATE(B24,(""auto""),(""fr""))"),"Description")</f>
        <v>Description</v>
      </c>
      <c r="F24" s="70" t="str">
        <f ca="1">IFERROR(__xludf.DUMMYFUNCTION("GOOGLETRANSLATE(D24,(""auto""),(""IT""))"),"Descrizione")</f>
        <v>Descrizione</v>
      </c>
    </row>
    <row r="25" spans="1:30" ht="84" customHeight="1">
      <c r="A25" s="10">
        <v>1</v>
      </c>
      <c r="B25" s="11" t="s">
        <v>251</v>
      </c>
      <c r="C25" s="11"/>
      <c r="D25" s="11" t="str">
        <f ca="1">IFERROR(__xludf.DUMMYFUNCTION("GOOGLETRANSLATE($B25,(""auto""),(""es""))"),"Retire el pestillo del asiento")</f>
        <v>Retire el pestillo del asiento</v>
      </c>
      <c r="E25" s="11" t="str">
        <f ca="1">IFERROR(__xludf.DUMMYFUNCTION("GOOGLETRANSLATE($B25,(""auto""),(""FR""))"),"Retirez le verrou de siège")</f>
        <v>Retirez le verrou de siège</v>
      </c>
      <c r="F25" s="11" t="str">
        <f ca="1">IFERROR(__xludf.DUMMYFUNCTION("GOOGLETRANSLATE($B25,(""auto""),(""IT""))"),"Rimuovi il fermo del sedile")</f>
        <v>Rimuovi il fermo del sedile</v>
      </c>
    </row>
    <row r="26" spans="1:30" ht="101.25" customHeight="1">
      <c r="A26" s="10">
        <v>2</v>
      </c>
      <c r="B26" s="11" t="s">
        <v>252</v>
      </c>
      <c r="C26" s="11"/>
      <c r="D26" s="11" t="str">
        <f ca="1">IFERROR(__xludf.DUMMYFUNCTION("GOOGLETRANSLATE($B26,(""auto""),(""es""))"),"Retire los 3 tornillos izquierdo y derecho en el círculo rojo con un destornillador de Phillips y retire la cubierta central trasera")</f>
        <v>Retire los 3 tornillos izquierdo y derecho en el círculo rojo con un destornillador de Phillips y retire la cubierta central trasera</v>
      </c>
      <c r="E26" s="11" t="str">
        <f ca="1">IFERROR(__xludf.DUMMYFUNCTION("GOOGLETRANSLATE($B26,(""auto""),(""FR""))"),"Retirez les 3 vis gauche et droite dans le cercle rouge avec un tournevis Phillips et retirez le couvercle central arrière")</f>
        <v>Retirez les 3 vis gauche et droite dans le cercle rouge avec un tournevis Phillips et retirez le couvercle central arrière</v>
      </c>
      <c r="F26" s="11" t="str">
        <f ca="1">IFERROR(__xludf.DUMMYFUNCTION("GOOGLETRANSLATE($B26,(""auto""),(""IT""))"),"Rimuovere le viti sinistro e destro nel cerchio rosso con un cacciavite Phillips e rimuovere il coperchio centrale posteriore")</f>
        <v>Rimuovere le viti sinistro e destro nel cerchio rosso con un cacciavite Phillips e rimuovere il coperchio centrale posteriore</v>
      </c>
    </row>
    <row r="27" spans="1:30" ht="26.25" customHeight="1">
      <c r="A27" s="73"/>
      <c r="B27" s="73" t="s">
        <v>253</v>
      </c>
      <c r="C27" s="73"/>
      <c r="D27" s="73" t="str">
        <f ca="1">IFERROR(__xludf.DUMMYFUNCTION("GOOGLETRANSLATE($B27,(""auto""),(""es""))"),"B5 - Escudos delanteros izquierdo y derecho")</f>
        <v>B5 - Escudos delanteros izquierdo y derecho</v>
      </c>
      <c r="E27" s="73" t="str">
        <f ca="1">IFERROR(__xludf.DUMMYFUNCTION("GOOGLETRANSLATE($B27,(""auto""),(""FR""))"),"B5 - boucliers avant gauche et droit")</f>
        <v>B5 - boucliers avant gauche et droit</v>
      </c>
      <c r="F27" s="73" t="str">
        <f ca="1">IFERROR(__xludf.DUMMYFUNCTION("GOOGLETRANSLATE($B27,(""auto""),(""IT""))"),"B5 - Shiedi frontali sinistra e destra")</f>
        <v>B5 - Shiedi frontali sinistra e destra</v>
      </c>
      <c r="G27" s="9"/>
      <c r="H27" s="9"/>
      <c r="I27" s="9"/>
      <c r="J27" s="9"/>
      <c r="K27" s="9"/>
      <c r="L27" s="9"/>
      <c r="M27" s="9"/>
      <c r="N27" s="9"/>
      <c r="O27" s="9"/>
      <c r="P27" s="9"/>
      <c r="Q27" s="9"/>
      <c r="R27" s="9"/>
      <c r="S27" s="9"/>
      <c r="T27" s="9"/>
      <c r="U27" s="9"/>
      <c r="V27" s="9"/>
      <c r="W27" s="9"/>
      <c r="X27" s="9"/>
      <c r="Y27" s="9"/>
      <c r="Z27" s="9"/>
      <c r="AA27" s="9"/>
      <c r="AB27" s="9"/>
      <c r="AC27" s="9"/>
      <c r="AD27" s="9"/>
    </row>
    <row r="28" spans="1:30">
      <c r="A28" s="69" t="s">
        <v>145</v>
      </c>
      <c r="B28" s="70" t="s">
        <v>146</v>
      </c>
      <c r="C28" s="70" t="s">
        <v>147</v>
      </c>
      <c r="D28" s="70" t="str">
        <f ca="1">IFERROR(__xludf.DUMMYFUNCTION("GOOGLETRANSLATE(B28,(""auto""),(""es""))"),"Preparación:")</f>
        <v>Preparación:</v>
      </c>
      <c r="E28" s="70" t="str">
        <f ca="1">IFERROR(__xludf.DUMMYFUNCTION("GOOGLETRANSLATE(B28,(""auto""),(""fr""))"),"Préparation:")</f>
        <v>Préparation:</v>
      </c>
      <c r="F28" s="70" t="str">
        <f ca="1">IFERROR(__xludf.DUMMYFUNCTION("GOOGLETRANSLATE(D28,(""auto""),(""IT""))"),"Preparazione:")</f>
        <v>Preparazione:</v>
      </c>
    </row>
    <row r="29" spans="1:30">
      <c r="A29" s="10">
        <v>1</v>
      </c>
      <c r="B29" s="11" t="s">
        <v>156</v>
      </c>
      <c r="C29" s="11"/>
      <c r="D29" s="11" t="str">
        <f ca="1">IFERROR(__xludf.DUMMYFUNCTION("GOOGLETRANSLATE($B29,(""auto""),(""es""))"),"Retire la canasta delantera - B0")</f>
        <v>Retire la canasta delantera - B0</v>
      </c>
      <c r="E29" s="11" t="str">
        <f ca="1">IFERROR(__xludf.DUMMYFUNCTION("GOOGLETRANSLATE($B29,(""auto""),(""FR""))"),"Retirez le panier avant - B0")</f>
        <v>Retirez le panier avant - B0</v>
      </c>
      <c r="F29" s="11" t="str">
        <f ca="1">IFERROR(__xludf.DUMMYFUNCTION("GOOGLETRANSLATE($B29,(""auto""),(""IT""))"),"Rimuovere il cestino anteriore - B0")</f>
        <v>Rimuovere il cestino anteriore - B0</v>
      </c>
    </row>
    <row r="30" spans="1:30">
      <c r="A30" s="10">
        <v>2</v>
      </c>
      <c r="B30" s="11" t="s">
        <v>149</v>
      </c>
      <c r="C30" s="11"/>
      <c r="D30" s="11" t="str">
        <f ca="1">IFERROR(__xludf.DUMMYFUNCTION("GOOGLETRANSLATE($B30,(""auto""),(""es""))"),"Retire la cubierta frontal - B1")</f>
        <v>Retire la cubierta frontal - B1</v>
      </c>
      <c r="E30" s="11" t="str">
        <f ca="1">IFERROR(__xludf.DUMMYFUNCTION("GOOGLETRANSLATE($B30,(""auto""),(""FR""))"),"Retirez le couvercle avant - B1")</f>
        <v>Retirez le couvercle avant - B1</v>
      </c>
      <c r="F30" s="11" t="str">
        <f ca="1">IFERROR(__xludf.DUMMYFUNCTION("GOOGLETRANSLATE($B30,(""auto""),(""IT""))"),"Rimuovere il coperchio anteriore - B1")</f>
        <v>Rimuovere il coperchio anteriore - B1</v>
      </c>
    </row>
    <row r="31" spans="1:30">
      <c r="A31" s="69" t="s">
        <v>150</v>
      </c>
      <c r="B31" s="70" t="s">
        <v>151</v>
      </c>
      <c r="C31" s="70" t="s">
        <v>152</v>
      </c>
      <c r="D31" s="70" t="str">
        <f ca="1">IFERROR(__xludf.DUMMYFUNCTION("GOOGLETRANSLATE(B31,(""auto""),(""es""))"),"Descripción")</f>
        <v>Descripción</v>
      </c>
      <c r="E31" s="70" t="str">
        <f ca="1">IFERROR(__xludf.DUMMYFUNCTION("GOOGLETRANSLATE(B31,(""auto""),(""fr""))"),"Description")</f>
        <v>Description</v>
      </c>
      <c r="F31" s="70" t="str">
        <f ca="1">IFERROR(__xludf.DUMMYFUNCTION("GOOGLETRANSLATE(D31,(""auto""),(""IT""))"),"Descrizione")</f>
        <v>Descrizione</v>
      </c>
    </row>
    <row r="32" spans="1:30" ht="117.75" customHeight="1">
      <c r="A32" s="10">
        <v>1</v>
      </c>
      <c r="B32" s="11" t="s">
        <v>254</v>
      </c>
      <c r="C32" s="11"/>
      <c r="D32" s="11" t="str">
        <f ca="1">IFERROR(__xludf.DUMMYFUNCTION("GOOGLETRANSLATE($B32,(""auto""),(""es""))"),"Retire los 2 tornillos izquierdo y derecho del círculo rojo con un destornillador de Phillips")</f>
        <v>Retire los 2 tornillos izquierdo y derecho del círculo rojo con un destornillador de Phillips</v>
      </c>
      <c r="E32" s="11" t="str">
        <f ca="1">IFERROR(__xludf.DUMMYFUNCTION("GOOGLETRANSLATE($B32,(""auto""),(""FR""))"),"Retirez les 2 vis gauche et droite du cercle rouge avec un tournevis Phillips")</f>
        <v>Retirez les 2 vis gauche et droite du cercle rouge avec un tournevis Phillips</v>
      </c>
      <c r="F32" s="11" t="str">
        <f ca="1">IFERROR(__xludf.DUMMYFUNCTION("GOOGLETRANSLATE($B32,(""auto""),(""IT""))"),"Rimuovere le viti sinistro e destro dal cerchio rosso con un cacciavite Phillips")</f>
        <v>Rimuovere le viti sinistro e destro dal cerchio rosso con un cacciavite Phillips</v>
      </c>
    </row>
    <row r="33" spans="1:30" ht="100.5" customHeight="1">
      <c r="A33" s="10">
        <v>2</v>
      </c>
      <c r="B33" s="11" t="s">
        <v>255</v>
      </c>
      <c r="C33" s="11"/>
      <c r="D33" s="11" t="str">
        <f ca="1">IFERROR(__xludf.DUMMYFUNCTION("GOOGLETRANSLATE($B33,(""auto""),(""es""))"),"Use un destornillador de Phillips para quitar los tornillos izquierdo y derecho en el círculo rojo de la cubierta de la viga principal y retire los escudos delanteros izquierdo y derecho")</f>
        <v>Use un destornillador de Phillips para quitar los tornillos izquierdo y derecho en el círculo rojo de la cubierta de la viga principal y retire los escudos delanteros izquierdo y derecho</v>
      </c>
      <c r="E33" s="11" t="str">
        <f ca="1">IFERROR(__xludf.DUMMYFUNCTION("GOOGLETRANSLATE($B33,(""auto""),(""FR""))"),"Utilisez un tournevis Phillips pour retirer les vis gauche et droite dans le cercle rouge du couvercle de la poutre principale et retirer les boucliers avant gauche et droit")</f>
        <v>Utilisez un tournevis Phillips pour retirer les vis gauche et droite dans le cercle rouge du couvercle de la poutre principale et retirer les boucliers avant gauche et droit</v>
      </c>
      <c r="F33" s="11" t="str">
        <f ca="1">IFERROR(__xludf.DUMMYFUNCTION("GOOGLETRANSLATE($B33,(""auto""),(""IT""))"),"Utilizzare un cacciavite Phillips per rimuovere le viti sinistro e destro nel cerchio rosso del coperchio della trave principale e rimuovere gli scudi anteriori sinistro e destro")</f>
        <v>Utilizzare un cacciavite Phillips per rimuovere le viti sinistro e destro nel cerchio rosso del coperchio della trave principale e rimuovere gli scudi anteriori sinistro e destro</v>
      </c>
    </row>
    <row r="34" spans="1:30" ht="26.25" customHeight="1">
      <c r="A34" s="73"/>
      <c r="B34" s="73" t="s">
        <v>256</v>
      </c>
      <c r="C34" s="73"/>
      <c r="D34" s="73" t="str">
        <f ca="1">IFERROR(__xludf.DUMMYFUNCTION("GOOGLETRANSLATE($B34,(""auto""),(""es""))"),"B6 - Cubierta de faros")</f>
        <v>B6 - Cubierta de faros</v>
      </c>
      <c r="E34" s="73" t="str">
        <f ca="1">IFERROR(__xludf.DUMMYFUNCTION("GOOGLETRANSLATE($B34,(""auto""),(""FR""))"),"B6 - Couvercle des phares")</f>
        <v>B6 - Couvercle des phares</v>
      </c>
      <c r="F34" s="73" t="str">
        <f ca="1">IFERROR(__xludf.DUMMYFUNCTION("GOOGLETRANSLATE($B34,(""auto""),(""IT""))"),"B6 - Copertura del faro")</f>
        <v>B6 - Copertura del faro</v>
      </c>
      <c r="G34" s="9"/>
      <c r="H34" s="9"/>
      <c r="I34" s="9"/>
      <c r="J34" s="9"/>
      <c r="K34" s="9"/>
      <c r="L34" s="9"/>
      <c r="M34" s="9"/>
      <c r="N34" s="9"/>
      <c r="O34" s="9"/>
      <c r="P34" s="9"/>
      <c r="Q34" s="9"/>
      <c r="R34" s="9"/>
      <c r="S34" s="9"/>
      <c r="T34" s="9"/>
      <c r="U34" s="9"/>
      <c r="V34" s="9"/>
      <c r="W34" s="9"/>
      <c r="X34" s="9"/>
      <c r="Y34" s="9"/>
      <c r="Z34" s="9"/>
      <c r="AA34" s="9"/>
      <c r="AB34" s="9"/>
      <c r="AC34" s="9"/>
      <c r="AD34" s="9"/>
    </row>
    <row r="35" spans="1:30">
      <c r="A35" s="69" t="s">
        <v>145</v>
      </c>
      <c r="B35" s="70" t="s">
        <v>146</v>
      </c>
      <c r="C35" s="70" t="s">
        <v>147</v>
      </c>
      <c r="D35" s="70" t="str">
        <f ca="1">IFERROR(__xludf.DUMMYFUNCTION("GOOGLETRANSLATE(B35,(""auto""),(""es""))"),"Preparación:")</f>
        <v>Preparación:</v>
      </c>
      <c r="E35" s="70" t="str">
        <f ca="1">IFERROR(__xludf.DUMMYFUNCTION("GOOGLETRANSLATE(B35,(""auto""),(""fr""))"),"Préparation:")</f>
        <v>Préparation:</v>
      </c>
      <c r="F35" s="70" t="str">
        <f ca="1">IFERROR(__xludf.DUMMYFUNCTION("GOOGLETRANSLATE(D35,(""auto""),(""IT""))"),"Preparazione:")</f>
        <v>Preparazione:</v>
      </c>
    </row>
    <row r="36" spans="1:30">
      <c r="A36" s="10">
        <v>1</v>
      </c>
      <c r="B36" s="11" t="s">
        <v>149</v>
      </c>
      <c r="C36" s="11"/>
      <c r="D36" s="11" t="str">
        <f ca="1">IFERROR(__xludf.DUMMYFUNCTION("GOOGLETRANSLATE($B36,(""auto""),(""es""))"),"Retire la cubierta frontal - B1")</f>
        <v>Retire la cubierta frontal - B1</v>
      </c>
      <c r="E36" s="11" t="str">
        <f ca="1">IFERROR(__xludf.DUMMYFUNCTION("GOOGLETRANSLATE($B36,(""auto""),(""FR""))"),"Retirez le couvercle avant - B1")</f>
        <v>Retirez le couvercle avant - B1</v>
      </c>
      <c r="F36" s="11" t="str">
        <f ca="1">IFERROR(__xludf.DUMMYFUNCTION("GOOGLETRANSLATE($B36,(""auto""),(""IT""))"),"Rimuovere il coperchio anteriore - B1")</f>
        <v>Rimuovere il coperchio anteriore - B1</v>
      </c>
    </row>
    <row r="37" spans="1:30">
      <c r="A37" s="10">
        <v>2</v>
      </c>
      <c r="B37" s="11" t="s">
        <v>257</v>
      </c>
      <c r="C37" s="11"/>
      <c r="D37" s="11" t="str">
        <f ca="1">IFERROR(__xludf.DUMMYFUNCTION("GOOGLETRANSLATE($B37,(""auto""),(""es""))"),"Retire el conjunto del faro - A1")</f>
        <v>Retire el conjunto del faro - A1</v>
      </c>
      <c r="E37" s="11" t="str">
        <f ca="1">IFERROR(__xludf.DUMMYFUNCTION("GOOGLETRANSLATE($B37,(""auto""),(""FR""))"),"Retirez le phare - A1")</f>
        <v>Retirez le phare - A1</v>
      </c>
      <c r="F37" s="11" t="str">
        <f ca="1">IFERROR(__xludf.DUMMYFUNCTION("GOOGLETRANSLATE($B37,(""auto""),(""IT""))"),"Rimuovere il gruppo faro - A1")</f>
        <v>Rimuovere il gruppo faro - A1</v>
      </c>
    </row>
    <row r="38" spans="1:30">
      <c r="A38" s="10">
        <v>3</v>
      </c>
      <c r="B38" s="11" t="s">
        <v>258</v>
      </c>
      <c r="C38" s="11"/>
      <c r="D38" s="11" t="str">
        <f ca="1">IFERROR(__xludf.DUMMYFUNCTION("GOOGLETRANSLATE($B38,(""auto""),(""es""))"),"Tire hacia abajo en el frente izquierdo y derecho de los brevas - A14")</f>
        <v>Tire hacia abajo en el frente izquierdo y derecho de los brevas - A14</v>
      </c>
      <c r="E38" s="11" t="str">
        <f ca="1">IFERROR(__xludf.DUMMYFUNCTION("GOOGLETRANSLATE($B38,(""auto""),(""FR""))"),"Retirez les clinquillers avant gauche et droit - A14")</f>
        <v>Retirez les clinquillers avant gauche et droit - A14</v>
      </c>
      <c r="F38" s="11" t="str">
        <f ca="1">IFERROR(__xludf.DUMMYFUNCTION("GOOGLETRANSLATE($B38,(""auto""),(""IT""))"),"Schiude i vetristi anteriori sinistro e destro - A14")</f>
        <v>Schiude i vetristi anteriori sinistro e destro - A14</v>
      </c>
    </row>
    <row r="39" spans="1:30">
      <c r="A39" s="69" t="s">
        <v>150</v>
      </c>
      <c r="B39" s="70" t="s">
        <v>151</v>
      </c>
      <c r="C39" s="70" t="s">
        <v>152</v>
      </c>
      <c r="D39" s="70" t="str">
        <f ca="1">IFERROR(__xludf.DUMMYFUNCTION("GOOGLETRANSLATE(B39,(""auto""),(""es""))"),"Descripción")</f>
        <v>Descripción</v>
      </c>
      <c r="E39" s="70" t="str">
        <f ca="1">IFERROR(__xludf.DUMMYFUNCTION("GOOGLETRANSLATE(B39,(""auto""),(""fr""))"),"Description")</f>
        <v>Description</v>
      </c>
      <c r="F39" s="70" t="str">
        <f ca="1">IFERROR(__xludf.DUMMYFUNCTION("GOOGLETRANSLATE(D39,(""auto""),(""IT""))"),"Descrizione")</f>
        <v>Descrizione</v>
      </c>
    </row>
    <row r="40" spans="1:30">
      <c r="A40" s="10">
        <v>1</v>
      </c>
      <c r="B40" s="11" t="s">
        <v>259</v>
      </c>
      <c r="C40" s="11"/>
      <c r="D40" s="11" t="str">
        <f ca="1">IFERROR(__xludf.DUMMYFUNCTION("GOOGLETRANSLATE($B40,(""auto""),(""es""))"),"Quítate el faro después del trabajo de preparación anterior")</f>
        <v>Quítate el faro después del trabajo de preparación anterior</v>
      </c>
      <c r="E40" s="11" t="str">
        <f ca="1">IFERROR(__xludf.DUMMYFUNCTION("GOOGLETRANSLATE($B40,(""auto""),(""FR""))"),"Enlever le phare après les travaux de préparation ci-dessus")</f>
        <v>Enlever le phare après les travaux de préparation ci-dessus</v>
      </c>
      <c r="F40" s="11" t="str">
        <f ca="1">IFERROR(__xludf.DUMMYFUNCTION("GOOGLETRANSLATE($B40,(""auto""),(""IT""))"),"Togli il faro dopo il lavoro di preparazione sopra")</f>
        <v>Togli il faro dopo il lavoro di preparazione sopra</v>
      </c>
    </row>
    <row r="41" spans="1:30" ht="26.25" customHeight="1">
      <c r="A41" s="73"/>
      <c r="B41" s="73" t="s">
        <v>260</v>
      </c>
      <c r="C41" s="73"/>
      <c r="D41" s="73" t="str">
        <f ca="1">IFERROR(__xludf.DUMMYFUNCTION("GOOGLETRANSLATE($B41,(""auto""),(""es""))"),"B7 - pedal")</f>
        <v>B7 - pedal</v>
      </c>
      <c r="E41" s="73" t="str">
        <f ca="1">IFERROR(__xludf.DUMMYFUNCTION("GOOGLETRANSLATE($B41,(""auto""),(""FR""))"),"B7 - pédale")</f>
        <v>B7 - pédale</v>
      </c>
      <c r="F41" s="73" t="str">
        <f ca="1">IFERROR(__xludf.DUMMYFUNCTION("GOOGLETRANSLATE($B41,(""auto""),(""IT""))"),"B7 - pedale")</f>
        <v>B7 - pedale</v>
      </c>
      <c r="G41" s="9"/>
      <c r="H41" s="9"/>
      <c r="I41" s="9"/>
      <c r="J41" s="9"/>
      <c r="K41" s="9"/>
      <c r="L41" s="9"/>
      <c r="M41" s="9"/>
      <c r="N41" s="9"/>
      <c r="O41" s="9"/>
      <c r="P41" s="9"/>
      <c r="Q41" s="9"/>
      <c r="R41" s="9"/>
      <c r="S41" s="9"/>
      <c r="T41" s="9"/>
      <c r="U41" s="9"/>
      <c r="V41" s="9"/>
      <c r="W41" s="9"/>
      <c r="X41" s="9"/>
      <c r="Y41" s="9"/>
      <c r="Z41" s="9"/>
      <c r="AA41" s="9"/>
      <c r="AB41" s="9"/>
      <c r="AC41" s="9"/>
      <c r="AD41" s="9"/>
    </row>
    <row r="42" spans="1:30">
      <c r="A42" s="69" t="s">
        <v>150</v>
      </c>
      <c r="B42" s="70" t="s">
        <v>151</v>
      </c>
      <c r="C42" s="70" t="s">
        <v>152</v>
      </c>
      <c r="D42" s="70" t="str">
        <f ca="1">IFERROR(__xludf.DUMMYFUNCTION("GOOGLETRANSLATE(B42,(""auto""),(""es""))"),"Descripción")</f>
        <v>Descripción</v>
      </c>
      <c r="E42" s="70" t="str">
        <f ca="1">IFERROR(__xludf.DUMMYFUNCTION("GOOGLETRANSLATE(B42,(""auto""),(""fr""))"),"Description")</f>
        <v>Description</v>
      </c>
      <c r="F42" s="70" t="str">
        <f ca="1">IFERROR(__xludf.DUMMYFUNCTION("GOOGLETRANSLATE(D42,(""auto""),(""IT""))"),"Descrizione")</f>
        <v>Descrizione</v>
      </c>
    </row>
    <row r="43" spans="1:30" ht="95.25" customHeight="1">
      <c r="A43" s="10">
        <v>1</v>
      </c>
      <c r="B43" s="11" t="s">
        <v>261</v>
      </c>
      <c r="C43" s="11"/>
      <c r="D43" s="11" t="str">
        <f ca="1">IFERROR(__xludf.DUMMYFUNCTION("GOOGLETRANSLATE($B43,(""auto""),(""es""))"),"Retire los cuatro pernos en el círculo rojo con una manga de clavos de 10 mm y saque el pedal")</f>
        <v>Retire los cuatro pernos en el círculo rojo con una manga de clavos de 10 mm y saque el pedal</v>
      </c>
      <c r="E43" s="11" t="str">
        <f ca="1">IFERROR(__xludf.DUMMYFUNCTION("GOOGLETRANSLATE($B43,(""auto""),(""FR""))"),"Retirez les quatre boulons dans le cercle rouge avec une manche de 10 mm et retirez la pédale")</f>
        <v>Retirez les quatre boulons dans le cercle rouge avec une manche de 10 mm et retirez la pédale</v>
      </c>
      <c r="F43" s="11" t="str">
        <f ca="1">IFERROR(__xludf.DUMMYFUNCTION("GOOGLETRANSLATE($B43,(""auto""),(""IT""))"),"Rimuovere i quattro bulloni nel cerchio rosso con una manica unghie da 10 mm ed eliminare il pedale")</f>
        <v>Rimuovere i quattro bulloni nel cerchio rosso con una manica unghie da 10 mm ed eliminare il pedale</v>
      </c>
    </row>
    <row r="44" spans="1:30" ht="26.25" customHeight="1">
      <c r="A44" s="73"/>
      <c r="B44" s="73" t="s">
        <v>262</v>
      </c>
      <c r="C44" s="73"/>
      <c r="D44" s="73" t="str">
        <f ca="1">IFERROR(__xludf.DUMMYFUNCTION("GOOGLETRANSLATE($B44,(""auto""),(""es""))"),"B8 - (izquierda/derecha) Strip de cubierta")</f>
        <v>B8 - (izquierda/derecha) Strip de cubierta</v>
      </c>
      <c r="E44" s="73" t="str">
        <f ca="1">IFERROR(__xludf.DUMMYFUNCTION("GOOGLETRANSLATE($B44,(""auto""),(""FR""))"),"B8 - (gauche / droite) bande de couverture")</f>
        <v>B8 - (gauche / droite) bande de couverture</v>
      </c>
      <c r="F44" s="73" t="str">
        <f ca="1">IFERROR(__xludf.DUMMYFUNCTION("GOOGLETRANSLATE($B44,(""auto""),(""IT""))"),"B8 - Striscia di copertura (sinistra/destra)")</f>
        <v>B8 - Striscia di copertura (sinistra/destra)</v>
      </c>
      <c r="G44" s="9"/>
      <c r="H44" s="9"/>
      <c r="I44" s="9"/>
      <c r="J44" s="9"/>
      <c r="K44" s="9"/>
      <c r="L44" s="9"/>
      <c r="M44" s="9"/>
      <c r="N44" s="9"/>
      <c r="O44" s="9"/>
      <c r="P44" s="9"/>
      <c r="Q44" s="9"/>
      <c r="R44" s="9"/>
      <c r="S44" s="9"/>
      <c r="T44" s="9"/>
      <c r="U44" s="9"/>
      <c r="V44" s="9"/>
      <c r="W44" s="9"/>
      <c r="X44" s="9"/>
      <c r="Y44" s="9"/>
      <c r="Z44" s="9"/>
      <c r="AA44" s="9"/>
      <c r="AB44" s="9"/>
      <c r="AC44" s="9"/>
      <c r="AD44" s="9"/>
    </row>
    <row r="45" spans="1:30">
      <c r="A45" s="69" t="s">
        <v>145</v>
      </c>
      <c r="B45" s="70" t="s">
        <v>146</v>
      </c>
      <c r="C45" s="70" t="s">
        <v>147</v>
      </c>
      <c r="D45" s="70" t="str">
        <f ca="1">IFERROR(__xludf.DUMMYFUNCTION("GOOGLETRANSLATE(B45,(""auto""),(""es""))"),"Preparación:")</f>
        <v>Preparación:</v>
      </c>
      <c r="E45" s="70" t="str">
        <f ca="1">IFERROR(__xludf.DUMMYFUNCTION("GOOGLETRANSLATE(B45,(""auto""),(""fr""))"),"Préparation:")</f>
        <v>Préparation:</v>
      </c>
      <c r="F45" s="70" t="str">
        <f ca="1">IFERROR(__xludf.DUMMYFUNCTION("GOOGLETRANSLATE(D45,(""auto""),(""IT""))"),"Preparazione:")</f>
        <v>Preparazione:</v>
      </c>
    </row>
    <row r="46" spans="1:30">
      <c r="A46" s="10">
        <v>1</v>
      </c>
      <c r="B46" s="11" t="s">
        <v>156</v>
      </c>
      <c r="C46" s="11"/>
      <c r="D46" s="11" t="str">
        <f ca="1">IFERROR(__xludf.DUMMYFUNCTION("GOOGLETRANSLATE($B46,(""auto""),(""es""))"),"Retire la canasta delantera - B0")</f>
        <v>Retire la canasta delantera - B0</v>
      </c>
      <c r="E46" s="11" t="str">
        <f ca="1">IFERROR(__xludf.DUMMYFUNCTION("GOOGLETRANSLATE($B46,(""auto""),(""FR""))"),"Retirez le panier avant - B0")</f>
        <v>Retirez le panier avant - B0</v>
      </c>
      <c r="F46" s="11" t="str">
        <f ca="1">IFERROR(__xludf.DUMMYFUNCTION("GOOGLETRANSLATE($B46,(""auto""),(""IT""))"),"Rimuovere il cestino anteriore - B0")</f>
        <v>Rimuovere il cestino anteriore - B0</v>
      </c>
    </row>
    <row r="47" spans="1:30">
      <c r="A47" s="10">
        <v>2</v>
      </c>
      <c r="B47" s="11" t="s">
        <v>149</v>
      </c>
      <c r="C47" s="11"/>
      <c r="D47" s="11" t="str">
        <f ca="1">IFERROR(__xludf.DUMMYFUNCTION("GOOGLETRANSLATE($B47,(""auto""),(""es""))"),"Retire la cubierta frontal - B1")</f>
        <v>Retire la cubierta frontal - B1</v>
      </c>
      <c r="E47" s="11" t="str">
        <f ca="1">IFERROR(__xludf.DUMMYFUNCTION("GOOGLETRANSLATE($B47,(""auto""),(""FR""))"),"Retirez le couvercle avant - B1")</f>
        <v>Retirez le couvercle avant - B1</v>
      </c>
      <c r="F47" s="11" t="str">
        <f ca="1">IFERROR(__xludf.DUMMYFUNCTION("GOOGLETRANSLATE($B47,(""auto""),(""IT""))"),"Rimuovere il coperchio anteriore - B1")</f>
        <v>Rimuovere il coperchio anteriore - B1</v>
      </c>
    </row>
    <row r="48" spans="1:30">
      <c r="A48" s="10">
        <v>3</v>
      </c>
      <c r="B48" s="11" t="s">
        <v>228</v>
      </c>
      <c r="C48" s="11"/>
      <c r="D48" s="11" t="str">
        <f ca="1">IFERROR(__xludf.DUMMYFUNCTION("GOOGLETRANSLATE($B48,(""auto""),(""es""))"),"Retire los escudos delanteros izquierdo y derecho - B5")</f>
        <v>Retire los escudos delanteros izquierdo y derecho - B5</v>
      </c>
      <c r="E48" s="11" t="str">
        <f ca="1">IFERROR(__xludf.DUMMYFUNCTION("GOOGLETRANSLATE($B48,(""auto""),(""FR""))"),"Retirez les boucliers avant gauche et droit - B5")</f>
        <v>Retirez les boucliers avant gauche et droit - B5</v>
      </c>
      <c r="F48" s="11" t="str">
        <f ca="1">IFERROR(__xludf.DUMMYFUNCTION("GOOGLETRANSLATE($B48,(""auto""),(""IT""))"),"Rimuovere gli scudi anteriori sinistro e destro - B5")</f>
        <v>Rimuovere gli scudi anteriori sinistro e destro - B5</v>
      </c>
    </row>
    <row r="49" spans="1:30">
      <c r="A49" s="10">
        <v>4</v>
      </c>
      <c r="B49" s="11" t="s">
        <v>229</v>
      </c>
      <c r="C49" s="11"/>
      <c r="D49" s="11" t="str">
        <f ca="1">IFERROR(__xludf.DUMMYFUNCTION("GOOGLETRANSLATE($B49,(""auto""),(""es""))"),"Quítate el pedal - B7")</f>
        <v>Quítate el pedal - B7</v>
      </c>
      <c r="E49" s="11" t="str">
        <f ca="1">IFERROR(__xludf.DUMMYFUNCTION("GOOGLETRANSLATE($B49,(""auto""),(""FR""))"),"Enlever la pédale - B7")</f>
        <v>Enlever la pédale - B7</v>
      </c>
      <c r="F49" s="11" t="str">
        <f ca="1">IFERROR(__xludf.DUMMYFUNCTION("GOOGLETRANSLATE($B49,(""auto""),(""IT""))"),"Togli il pedale - B7")</f>
        <v>Togli il pedale - B7</v>
      </c>
    </row>
    <row r="50" spans="1:30">
      <c r="A50" s="69" t="s">
        <v>150</v>
      </c>
      <c r="B50" s="70" t="s">
        <v>151</v>
      </c>
      <c r="C50" s="70" t="s">
        <v>152</v>
      </c>
      <c r="D50" s="70" t="str">
        <f ca="1">IFERROR(__xludf.DUMMYFUNCTION("GOOGLETRANSLATE(B50,(""auto""),(""es""))"),"Descripción")</f>
        <v>Descripción</v>
      </c>
      <c r="E50" s="70" t="str">
        <f ca="1">IFERROR(__xludf.DUMMYFUNCTION("GOOGLETRANSLATE(B50,(""auto""),(""fr""))"),"Description")</f>
        <v>Description</v>
      </c>
      <c r="F50" s="70" t="str">
        <f ca="1">IFERROR(__xludf.DUMMYFUNCTION("GOOGLETRANSLATE(D50,(""auto""),(""IT""))"),"Descrizione")</f>
        <v>Descrizione</v>
      </c>
    </row>
    <row r="51" spans="1:30" ht="102" customHeight="1">
      <c r="A51" s="10">
        <v>1</v>
      </c>
      <c r="B51" s="11" t="s">
        <v>263</v>
      </c>
      <c r="C51" s="11"/>
      <c r="D51" s="11" t="str">
        <f ca="1">IFERROR(__xludf.DUMMYFUNCTION("GOOGLETRANSLATE($B51,(""auto""),(""es""))"),"Retire los tornillos para 7 izquierda y derecha en el círculo rojo con un destornillador de Phillips y saque la tira de cubierta")</f>
        <v>Retire los tornillos para 7 izquierda y derecha en el círculo rojo con un destornillador de Phillips y saque la tira de cubierta</v>
      </c>
      <c r="E51" s="11" t="str">
        <f ca="1">IFERROR(__xludf.DUMMYFUNCTION("GOOGLETRANSLATE($B51,(""auto""),(""FR""))"),"Retirez les 7 vis gauche et droite dans le cercle rouge avec un tournevis Phillips et retirez la bande de couverture")</f>
        <v>Retirez les 7 vis gauche et droite dans le cercle rouge avec un tournevis Phillips et retirez la bande de couverture</v>
      </c>
      <c r="F51" s="11" t="str">
        <f ca="1">IFERROR(__xludf.DUMMYFUNCTION("GOOGLETRANSLATE($B51,(""auto""),(""IT""))"),"Rimuovere le viti sinistro e destro nel cerchio rosso con un cacciavite Phillips ed eliminare la striscia di copertura")</f>
        <v>Rimuovere le viti sinistro e destro nel cerchio rosso con un cacciavite Phillips ed eliminare la striscia di copertura</v>
      </c>
    </row>
    <row r="52" spans="1:30" ht="26.25" customHeight="1">
      <c r="A52" s="73"/>
      <c r="B52" s="73" t="s">
        <v>264</v>
      </c>
      <c r="C52" s="73"/>
      <c r="D52" s="73" t="str">
        <f ca="1">IFERROR(__xludf.DUMMYFUNCTION("GOOGLETRANSLATE($B52,(""auto""),(""es""))"),"B9 - gancho")</f>
        <v>B9 - gancho</v>
      </c>
      <c r="E52" s="73" t="str">
        <f ca="1">IFERROR(__xludf.DUMMYFUNCTION("GOOGLETRANSLATE($B52,(""auto""),(""FR""))"),"B9 - crochet")</f>
        <v>B9 - crochet</v>
      </c>
      <c r="F52" s="73" t="str">
        <f ca="1">IFERROR(__xludf.DUMMYFUNCTION("GOOGLETRANSLATE($B52,(""auto""),(""IT""))"),"B9 - Hook")</f>
        <v>B9 - Hook</v>
      </c>
      <c r="G52" s="9"/>
      <c r="H52" s="9"/>
      <c r="I52" s="9"/>
      <c r="J52" s="9"/>
      <c r="K52" s="9"/>
      <c r="L52" s="9"/>
      <c r="M52" s="9"/>
      <c r="N52" s="9"/>
      <c r="O52" s="9"/>
      <c r="P52" s="9"/>
      <c r="Q52" s="9"/>
      <c r="R52" s="9"/>
      <c r="S52" s="9"/>
      <c r="T52" s="9"/>
      <c r="U52" s="9"/>
      <c r="V52" s="9"/>
      <c r="W52" s="9"/>
      <c r="X52" s="9"/>
      <c r="Y52" s="9"/>
      <c r="Z52" s="9"/>
      <c r="AA52" s="9"/>
      <c r="AB52" s="9"/>
      <c r="AC52" s="9"/>
      <c r="AD52" s="9"/>
    </row>
    <row r="53" spans="1:30">
      <c r="A53" s="69" t="s">
        <v>150</v>
      </c>
      <c r="B53" s="70" t="s">
        <v>151</v>
      </c>
      <c r="C53" s="70" t="s">
        <v>152</v>
      </c>
      <c r="D53" s="70" t="str">
        <f ca="1">IFERROR(__xludf.DUMMYFUNCTION("GOOGLETRANSLATE(B53,(""auto""),(""es""))"),"Descripción")</f>
        <v>Descripción</v>
      </c>
      <c r="E53" s="70" t="str">
        <f ca="1">IFERROR(__xludf.DUMMYFUNCTION("GOOGLETRANSLATE(B53,(""auto""),(""fr""))"),"Description")</f>
        <v>Description</v>
      </c>
      <c r="F53" s="70" t="str">
        <f ca="1">IFERROR(__xludf.DUMMYFUNCTION("GOOGLETRANSLATE(D53,(""auto""),(""IT""))"),"Descrizione")</f>
        <v>Descrizione</v>
      </c>
    </row>
    <row r="54" spans="1:30" ht="96.75" customHeight="1">
      <c r="A54" s="10">
        <v>1</v>
      </c>
      <c r="B54" s="11" t="s">
        <v>265</v>
      </c>
      <c r="C54" s="11"/>
      <c r="D54" s="11" t="str">
        <f ca="1">IFERROR(__xludf.DUMMYFUNCTION("GOOGLETRANSLATE($B54,(""auto""),(""es""))"),"Retire un perno del círculo rojo con una manga de clavos de 10 mm y saque el gancho")</f>
        <v>Retire un perno del círculo rojo con una manga de clavos de 10 mm y saque el gancho</v>
      </c>
      <c r="E54" s="11" t="str">
        <f ca="1">IFERROR(__xludf.DUMMYFUNCTION("GOOGLETRANSLATE($B54,(""auto""),(""FR""))"),"Retirez un boulon du cercle rouge avec un manchon à ongles de 10 mm et retirez le crochet")</f>
        <v>Retirez un boulon du cercle rouge avec un manchon à ongles de 10 mm et retirez le crochet</v>
      </c>
      <c r="F54" s="11" t="str">
        <f ca="1">IFERROR(__xludf.DUMMYFUNCTION("GOOGLETRANSLATE($B54,(""auto""),(""IT""))"),"Rimuovere un bullone dal cerchio rosso con una manica unghie da 10 mm ed eliminare il gancio")</f>
        <v>Rimuovere un bullone dal cerchio rosso con una manica unghie da 10 mm ed eliminare il gancio</v>
      </c>
    </row>
    <row r="55" spans="1:30" ht="26.25" customHeight="1">
      <c r="A55" s="73"/>
      <c r="B55" s="73" t="s">
        <v>266</v>
      </c>
      <c r="C55" s="73"/>
      <c r="D55" s="73" t="str">
        <f ca="1">IFERROR(__xludf.DUMMYFUNCTION("GOOGLETRANSLATE($B55,(""auto""),(""es""))"),"B10 - Cubierta de bloqueo")</f>
        <v>B10 - Cubierta de bloqueo</v>
      </c>
      <c r="E55" s="73" t="str">
        <f ca="1">IFERROR(__xludf.DUMMYFUNCTION("GOOGLETRANSLATE($B55,(""auto""),(""FR""))"),"B10 - COUVERTURE DE VERROUILLE")</f>
        <v>B10 - COUVERTURE DE VERROUILLE</v>
      </c>
      <c r="F55" s="73" t="str">
        <f ca="1">IFERROR(__xludf.DUMMYFUNCTION("GOOGLETRANSLATE($B55,(""auto""),(""IT""))"),"B10 - Coperchio di blocco")</f>
        <v>B10 - Coperchio di blocco</v>
      </c>
      <c r="G55" s="9"/>
      <c r="H55" s="9"/>
      <c r="I55" s="9"/>
      <c r="J55" s="9"/>
      <c r="K55" s="9"/>
      <c r="L55" s="9"/>
      <c r="M55" s="9"/>
      <c r="N55" s="9"/>
      <c r="O55" s="9"/>
      <c r="P55" s="9"/>
      <c r="Q55" s="9"/>
      <c r="R55" s="9"/>
      <c r="S55" s="9"/>
      <c r="T55" s="9"/>
      <c r="U55" s="9"/>
      <c r="V55" s="9"/>
      <c r="W55" s="9"/>
      <c r="X55" s="9"/>
      <c r="Y55" s="9"/>
      <c r="Z55" s="9"/>
      <c r="AA55" s="9"/>
      <c r="AB55" s="9"/>
      <c r="AC55" s="9"/>
      <c r="AD55" s="9"/>
    </row>
    <row r="56" spans="1:30">
      <c r="A56" s="69" t="s">
        <v>150</v>
      </c>
      <c r="B56" s="70" t="s">
        <v>151</v>
      </c>
      <c r="C56" s="70" t="s">
        <v>152</v>
      </c>
      <c r="D56" s="70" t="str">
        <f ca="1">IFERROR(__xludf.DUMMYFUNCTION("GOOGLETRANSLATE(B56,(""auto""),(""es""))"),"Descripción")</f>
        <v>Descripción</v>
      </c>
      <c r="E56" s="70" t="str">
        <f ca="1">IFERROR(__xludf.DUMMYFUNCTION("GOOGLETRANSLATE(B56,(""auto""),(""fr""))"),"Description")</f>
        <v>Description</v>
      </c>
      <c r="F56" s="70" t="str">
        <f ca="1">IFERROR(__xludf.DUMMYFUNCTION("GOOGLETRANSLATE(D56,(""auto""),(""IT""))"),"Descrizione")</f>
        <v>Descrizione</v>
      </c>
    </row>
    <row r="57" spans="1:30" ht="85.5" customHeight="1">
      <c r="A57" s="10">
        <v>1</v>
      </c>
      <c r="B57" s="11" t="s">
        <v>267</v>
      </c>
      <c r="C57" s="11"/>
      <c r="D57" s="11" t="str">
        <f ca="1">IFERROR(__xludf.DUMMYFUNCTION("GOOGLETRANSLATE($B57,(""auto""),(""es""))"),"Gire la cubierta de la cerradura hacia la izquierda para quitar la cubierta de alimentación")</f>
        <v>Gire la cubierta de la cerradura hacia la izquierda para quitar la cubierta de alimentación</v>
      </c>
      <c r="E57" s="11" t="str">
        <f ca="1">IFERROR(__xludf.DUMMYFUNCTION("GOOGLETRANSLATE($B57,(""auto""),(""FR""))"),"Tournez le couvercle de verrouillage à gauche pour retirer le couvercle d'alimentation")</f>
        <v>Tournez le couvercle de verrouillage à gauche pour retirer le couvercle d'alimentation</v>
      </c>
      <c r="F57" s="11" t="str">
        <f ca="1">IFERROR(__xludf.DUMMYFUNCTION("GOOGLETRANSLATE($B57,(""auto""),(""IT""))"),"Girare il coperchio del blocco a sinistra per rimuovere il coperchio di alimentazione")</f>
        <v>Girare il coperchio del blocco a sinistra per rimuovere il coperchio di alimentazione</v>
      </c>
    </row>
    <row r="58" spans="1:30" ht="26.25" customHeight="1">
      <c r="A58" s="73"/>
      <c r="B58" s="73" t="s">
        <v>268</v>
      </c>
      <c r="C58" s="73"/>
      <c r="D58" s="73" t="str">
        <f ca="1">IFERROR(__xludf.DUMMYFUNCTION("GOOGLETRANSLATE($B58,(""auto""),(""es""))"),"B1 1 - Cubierta de viga principal")</f>
        <v>B1 1 - Cubierta de viga principal</v>
      </c>
      <c r="E58" s="73" t="str">
        <f ca="1">IFERROR(__xludf.DUMMYFUNCTION("GOOGLETRANSLATE($B58,(""auto""),(""FR""))"),"B1 1 - couverture de poutre principale")</f>
        <v>B1 1 - couverture de poutre principale</v>
      </c>
      <c r="F58" s="73" t="str">
        <f ca="1">IFERROR(__xludf.DUMMYFUNCTION("GOOGLETRANSLATE($B58,(""auto""),(""IT""))"),"B1 1 - Copertina trave principale")</f>
        <v>B1 1 - Copertina trave principale</v>
      </c>
      <c r="G58" s="9"/>
      <c r="H58" s="9"/>
      <c r="I58" s="9"/>
      <c r="J58" s="9"/>
      <c r="K58" s="9"/>
      <c r="L58" s="9"/>
      <c r="M58" s="9"/>
      <c r="N58" s="9"/>
      <c r="O58" s="9"/>
      <c r="P58" s="9"/>
      <c r="Q58" s="9"/>
      <c r="R58" s="9"/>
      <c r="S58" s="9"/>
      <c r="T58" s="9"/>
      <c r="U58" s="9"/>
      <c r="V58" s="9"/>
      <c r="W58" s="9"/>
      <c r="X58" s="9"/>
      <c r="Y58" s="9"/>
      <c r="Z58" s="9"/>
      <c r="AA58" s="9"/>
      <c r="AB58" s="9"/>
      <c r="AC58" s="9"/>
      <c r="AD58" s="9"/>
    </row>
    <row r="59" spans="1:30">
      <c r="A59" s="69" t="s">
        <v>145</v>
      </c>
      <c r="B59" s="70" t="s">
        <v>146</v>
      </c>
      <c r="C59" s="70" t="s">
        <v>147</v>
      </c>
      <c r="D59" s="70" t="str">
        <f ca="1">IFERROR(__xludf.DUMMYFUNCTION("GOOGLETRANSLATE(B59,(""auto""),(""es""))"),"Preparación:")</f>
        <v>Preparación:</v>
      </c>
      <c r="E59" s="70" t="str">
        <f ca="1">IFERROR(__xludf.DUMMYFUNCTION("GOOGLETRANSLATE(B59,(""auto""),(""fr""))"),"Préparation:")</f>
        <v>Préparation:</v>
      </c>
      <c r="F59" s="70" t="str">
        <f ca="1">IFERROR(__xludf.DUMMYFUNCTION("GOOGLETRANSLATE(D59,(""auto""),(""IT""))"),"Preparazione:")</f>
        <v>Preparazione:</v>
      </c>
    </row>
    <row r="60" spans="1:30">
      <c r="A60" s="10">
        <v>1</v>
      </c>
      <c r="B60" s="11" t="s">
        <v>269</v>
      </c>
      <c r="C60" s="11"/>
      <c r="D60" s="11" t="str">
        <f ca="1">IFERROR(__xludf.DUMMYFUNCTION("GOOGLETRANSLATE($B60,(""auto""),(""es""))"),"
Retire la canasta delantera - B0")</f>
        <v xml:space="preserve">
Retire la canasta delantera - B0</v>
      </c>
      <c r="E60" s="11" t="str">
        <f ca="1">IFERROR(__xludf.DUMMYFUNCTION("GOOGLETRANSLATE($B60,(""auto""),(""FR""))"),"
Retirez le panier avant - B0")</f>
        <v xml:space="preserve">
Retirez le panier avant - B0</v>
      </c>
      <c r="F60" s="11" t="str">
        <f ca="1">IFERROR(__xludf.DUMMYFUNCTION("GOOGLETRANSLATE($B60,(""auto""),(""IT""))"),"
Rimuovere il cestino anteriore - B0")</f>
        <v xml:space="preserve">
Rimuovere il cestino anteriore - B0</v>
      </c>
    </row>
    <row r="61" spans="1:30">
      <c r="A61" s="10">
        <v>2</v>
      </c>
      <c r="B61" s="11" t="s">
        <v>270</v>
      </c>
      <c r="C61" s="11"/>
      <c r="D61" s="11" t="str">
        <f ca="1">IFERROR(__xludf.DUMMYFUNCTION("GOOGLETRANSLATE($B61,(""auto""),(""es""))"),"
Retire la cubierta frontal - B1")</f>
        <v xml:space="preserve">
Retire la cubierta frontal - B1</v>
      </c>
      <c r="E61" s="11" t="str">
        <f ca="1">IFERROR(__xludf.DUMMYFUNCTION("GOOGLETRANSLATE($B61,(""auto""),(""FR""))"),"
Retirez le couvercle avant - B1")</f>
        <v xml:space="preserve">
Retirez le couvercle avant - B1</v>
      </c>
      <c r="F61" s="11" t="str">
        <f ca="1">IFERROR(__xludf.DUMMYFUNCTION("GOOGLETRANSLATE($B61,(""auto""),(""IT""))"),"
Rimuovere il coperchio anteriore - B1")</f>
        <v xml:space="preserve">
Rimuovere il coperchio anteriore - B1</v>
      </c>
    </row>
    <row r="62" spans="1:30">
      <c r="A62" s="10">
        <v>3</v>
      </c>
      <c r="B62" s="11" t="s">
        <v>228</v>
      </c>
      <c r="C62" s="11"/>
      <c r="D62" s="11" t="str">
        <f ca="1">IFERROR(__xludf.DUMMYFUNCTION("GOOGLETRANSLATE($B62,(""auto""),(""es""))"),"Retire los escudos delanteros izquierdo y derecho - B5")</f>
        <v>Retire los escudos delanteros izquierdo y derecho - B5</v>
      </c>
      <c r="E62" s="11" t="str">
        <f ca="1">IFERROR(__xludf.DUMMYFUNCTION("GOOGLETRANSLATE($B62,(""auto""),(""FR""))"),"Retirez les boucliers avant gauche et droit - B5")</f>
        <v>Retirez les boucliers avant gauche et droit - B5</v>
      </c>
      <c r="F62" s="11" t="str">
        <f ca="1">IFERROR(__xludf.DUMMYFUNCTION("GOOGLETRANSLATE($B62,(""auto""),(""IT""))"),"Rimuovere gli scudi anteriori sinistro e destro - B5")</f>
        <v>Rimuovere gli scudi anteriori sinistro e destro - B5</v>
      </c>
    </row>
    <row r="63" spans="1:30">
      <c r="A63" s="10">
        <v>4</v>
      </c>
      <c r="B63" s="11" t="s">
        <v>229</v>
      </c>
      <c r="C63" s="11"/>
      <c r="D63" s="11" t="str">
        <f ca="1">IFERROR(__xludf.DUMMYFUNCTION("GOOGLETRANSLATE($B63,(""auto""),(""es""))"),"Quítate el pedal - B7")</f>
        <v>Quítate el pedal - B7</v>
      </c>
      <c r="E63" s="11" t="str">
        <f ca="1">IFERROR(__xludf.DUMMYFUNCTION("GOOGLETRANSLATE($B63,(""auto""),(""FR""))"),"Enlever la pédale - B7")</f>
        <v>Enlever la pédale - B7</v>
      </c>
      <c r="F63" s="11" t="str">
        <f ca="1">IFERROR(__xludf.DUMMYFUNCTION("GOOGLETRANSLATE($B63,(""auto""),(""IT""))"),"Togli il pedale - B7")</f>
        <v>Togli il pedale - B7</v>
      </c>
    </row>
    <row r="64" spans="1:30">
      <c r="A64" s="10">
        <v>5</v>
      </c>
      <c r="B64" s="11" t="s">
        <v>271</v>
      </c>
      <c r="C64" s="11"/>
      <c r="D64" s="11" t="str">
        <f ca="1">IFERROR(__xludf.DUMMYFUNCTION("GOOGLETRANSLATE($B64,(""auto""),(""es""))"),"Retire la tira de cubierta (izquierda/derecha) - B8")</f>
        <v>Retire la tira de cubierta (izquierda/derecha) - B8</v>
      </c>
      <c r="E64" s="11" t="str">
        <f ca="1">IFERROR(__xludf.DUMMYFUNCTION("GOOGLETRANSLATE($B64,(""auto""),(""FR""))"),"Retirez la bande de couverture (gauche / droite) - B8")</f>
        <v>Retirez la bande de couverture (gauche / droite) - B8</v>
      </c>
      <c r="F64" s="11" t="str">
        <f ca="1">IFERROR(__xludf.DUMMYFUNCTION("GOOGLETRANSLATE($B64,(""auto""),(""IT""))"),"Rimuovere la striscia di copertura (sinistra/destra) - B8")</f>
        <v>Rimuovere la striscia di copertura (sinistra/destra) - B8</v>
      </c>
    </row>
    <row r="65" spans="1:30">
      <c r="A65" s="10">
        <v>6</v>
      </c>
      <c r="B65" s="11" t="s">
        <v>272</v>
      </c>
      <c r="C65" s="11"/>
      <c r="D65" s="11" t="str">
        <f ca="1">IFERROR(__xludf.DUMMYFUNCTION("GOOGLETRANSLATE($B65,(""auto""),(""es""))"),"Retire el gancho - B9")</f>
        <v>Retire el gancho - B9</v>
      </c>
      <c r="E65" s="11" t="str">
        <f ca="1">IFERROR(__xludf.DUMMYFUNCTION("GOOGLETRANSLATE($B65,(""auto""),(""FR""))"),"Retirez le crochet - B9")</f>
        <v>Retirez le crochet - B9</v>
      </c>
      <c r="F65" s="11" t="str">
        <f ca="1">IFERROR(__xludf.DUMMYFUNCTION("GOOGLETRANSLATE($B65,(""auto""),(""IT""))"),"Rimuovi il gancio - B9")</f>
        <v>Rimuovi il gancio - B9</v>
      </c>
    </row>
    <row r="66" spans="1:30">
      <c r="A66" s="10">
        <v>7</v>
      </c>
      <c r="B66" s="11" t="s">
        <v>273</v>
      </c>
      <c r="C66" s="11"/>
      <c r="D66" s="11" t="str">
        <f ca="1">IFERROR(__xludf.DUMMYFUNCTION("GOOGLETRANSLATE($B66,(""auto""),(""es""))"),"Retire la cubierta de bloqueo de energía - B10")</f>
        <v>Retire la cubierta de bloqueo de energía - B10</v>
      </c>
      <c r="E66" s="11" t="str">
        <f ca="1">IFERROR(__xludf.DUMMYFUNCTION("GOOGLETRANSLATE($B66,(""auto""),(""FR""))"),"Retirez le couvercle de verrouillage d'alimentation - B10")</f>
        <v>Retirez le couvercle de verrouillage d'alimentation - B10</v>
      </c>
      <c r="F66" s="11" t="str">
        <f ca="1">IFERROR(__xludf.DUMMYFUNCTION("GOOGLETRANSLATE($B66,(""auto""),(""IT""))"),"Rimuovere il coperchio del blocco di alimentazione - B10")</f>
        <v>Rimuovere il coperchio del blocco di alimentazione - B10</v>
      </c>
    </row>
    <row r="67" spans="1:30">
      <c r="A67" s="69" t="s">
        <v>150</v>
      </c>
      <c r="B67" s="70" t="s">
        <v>151</v>
      </c>
      <c r="C67" s="70" t="s">
        <v>152</v>
      </c>
      <c r="D67" s="70" t="str">
        <f ca="1">IFERROR(__xludf.DUMMYFUNCTION("GOOGLETRANSLATE(B67,(""auto""),(""es""))"),"Descripción")</f>
        <v>Descripción</v>
      </c>
      <c r="E67" s="70" t="str">
        <f ca="1">IFERROR(__xludf.DUMMYFUNCTION("GOOGLETRANSLATE(B67,(""auto""),(""fr""))"),"Description")</f>
        <v>Description</v>
      </c>
      <c r="F67" s="70" t="str">
        <f ca="1">IFERROR(__xludf.DUMMYFUNCTION("GOOGLETRANSLATE(D67,(""auto""),(""IT""))"),"Descrizione")</f>
        <v>Descrizione</v>
      </c>
    </row>
    <row r="68" spans="1:30" ht="65.25" customHeight="1">
      <c r="A68" s="10">
        <v>1</v>
      </c>
      <c r="B68" s="11" t="s">
        <v>274</v>
      </c>
      <c r="C68" s="11"/>
      <c r="D68" s="11" t="str">
        <f ca="1">IFERROR(__xludf.DUMMYFUNCTION("GOOGLETRANSLATE($B68,(""auto""),(""es""))"),"Retire los 2 tornillos izquierdo y derecho en el círculo rojo de la cubierta inferior delantera con un destornillador de Phillips")</f>
        <v>Retire los 2 tornillos izquierdo y derecho en el círculo rojo de la cubierta inferior delantera con un destornillador de Phillips</v>
      </c>
      <c r="E68" s="11" t="str">
        <f ca="1">IFERROR(__xludf.DUMMYFUNCTION("GOOGLETRANSLATE($B68,(""auto""),(""FR""))"),"Retirez les 2 vis gauche et droite dans le cercle rouge du couvercle inférieur avant avec un tournevis Phillips")</f>
        <v>Retirez les 2 vis gauche et droite dans le cercle rouge du couvercle inférieur avant avec un tournevis Phillips</v>
      </c>
      <c r="F68" s="11" t="str">
        <f ca="1">IFERROR(__xludf.DUMMYFUNCTION("GOOGLETRANSLATE($B68,(""auto""),(""IT""))"),"Rimuovere le viti sinistro e destro nel cerchio rosso del coperchio inferiore anteriore con un cacciavite Phillips")</f>
        <v>Rimuovere le viti sinistro e destro nel cerchio rosso del coperchio inferiore anteriore con un cacciavite Phillips</v>
      </c>
    </row>
    <row r="69" spans="1:30" ht="102.75" customHeight="1">
      <c r="A69" s="10">
        <v>2</v>
      </c>
      <c r="B69" s="11" t="s">
        <v>275</v>
      </c>
      <c r="C69" s="11"/>
      <c r="D69" s="11" t="str">
        <f ca="1">IFERROR(__xludf.DUMMYFUNCTION("GOOGLETRANSLATE($B69,(""auto""),(""es""))"),"Use un destornillador de Phillips para quitar los tornillos izquierdo y derecho en el círculo rojo de la cubierta de la viga principal y retire la cubierta de la viga principal")</f>
        <v>Use un destornillador de Phillips para quitar los tornillos izquierdo y derecho en el círculo rojo de la cubierta de la viga principal y retire la cubierta de la viga principal</v>
      </c>
      <c r="E69" s="11" t="str">
        <f ca="1">IFERROR(__xludf.DUMMYFUNCTION("GOOGLETRANSLATE($B69,(""auto""),(""FR""))"),"Utilisez un tournevis Phillips pour retirer les vis gauche et droite dans le cercle rouge du couvercle de la poutre principale et retirer le couvercle de la poutre principale")</f>
        <v>Utilisez un tournevis Phillips pour retirer les vis gauche et droite dans le cercle rouge du couvercle de la poutre principale et retirer le couvercle de la poutre principale</v>
      </c>
      <c r="F69" s="11" t="str">
        <f ca="1">IFERROR(__xludf.DUMMYFUNCTION("GOOGLETRANSLATE($B69,(""auto""),(""IT""))"),"Utilizzare un cacciavite Phillips per rimuovere le viti sinistro e destro nel cerchio rosso del coperchio della trave principale e rimuovere il coperchio della trave principale")</f>
        <v>Utilizzare un cacciavite Phillips per rimuovere le viti sinistro e destro nel cerchio rosso del coperchio della trave principale e rimuovere il coperchio della trave principale</v>
      </c>
    </row>
    <row r="70" spans="1:30" ht="26.25" customHeight="1">
      <c r="A70" s="73"/>
      <c r="B70" s="73" t="s">
        <v>276</v>
      </c>
      <c r="C70" s="73"/>
      <c r="D70" s="73" t="str">
        <f ca="1">IFERROR(__xludf.DUMMYFUNCTION("GOOGLETRANSLATE($B70,(""auto""),(""es""))"),"B12 - Guante de guantes")</f>
        <v>B12 - Guante de guantes</v>
      </c>
      <c r="E70" s="73" t="str">
        <f ca="1">IFERROR(__xludf.DUMMYFUNCTION("GOOGLETRANSLATE($B70,(""auto""),(""FR""))"),"B12 - Boîte à gants")</f>
        <v>B12 - Boîte à gants</v>
      </c>
      <c r="F70" s="73" t="str">
        <f ca="1">IFERROR(__xludf.DUMMYFUNCTION("GOOGLETRANSLATE($B70,(""auto""),(""IT""))"),"B12 - Glove Box")</f>
        <v>B12 - Glove Box</v>
      </c>
      <c r="G70" s="9"/>
      <c r="H70" s="9"/>
      <c r="I70" s="9"/>
      <c r="J70" s="9"/>
      <c r="K70" s="9"/>
      <c r="L70" s="9"/>
      <c r="M70" s="9"/>
      <c r="N70" s="9"/>
      <c r="O70" s="9"/>
      <c r="P70" s="9"/>
      <c r="Q70" s="9"/>
      <c r="R70" s="9"/>
      <c r="S70" s="9"/>
      <c r="T70" s="9"/>
      <c r="U70" s="9"/>
      <c r="V70" s="9"/>
      <c r="W70" s="9"/>
      <c r="X70" s="9"/>
      <c r="Y70" s="9"/>
      <c r="Z70" s="9"/>
      <c r="AA70" s="9"/>
      <c r="AB70" s="9"/>
      <c r="AC70" s="9"/>
      <c r="AD70" s="9"/>
    </row>
    <row r="71" spans="1:30">
      <c r="A71" s="69" t="s">
        <v>145</v>
      </c>
      <c r="B71" s="70" t="s">
        <v>146</v>
      </c>
      <c r="C71" s="70" t="s">
        <v>147</v>
      </c>
      <c r="D71" s="70" t="str">
        <f ca="1">IFERROR(__xludf.DUMMYFUNCTION("GOOGLETRANSLATE(B71,(""auto""),(""es""))"),"Preparación:")</f>
        <v>Preparación:</v>
      </c>
      <c r="E71" s="70" t="str">
        <f ca="1">IFERROR(__xludf.DUMMYFUNCTION("GOOGLETRANSLATE(B71,(""auto""),(""fr""))"),"Préparation:")</f>
        <v>Préparation:</v>
      </c>
      <c r="F71" s="70" t="str">
        <f ca="1">IFERROR(__xludf.DUMMYFUNCTION("GOOGLETRANSLATE(D71,(""auto""),(""IT""))"),"Preparazione:")</f>
        <v>Preparazione:</v>
      </c>
    </row>
    <row r="72" spans="1:30" ht="26.25" customHeight="1">
      <c r="A72" s="10">
        <v>1</v>
      </c>
      <c r="B72" s="11" t="s">
        <v>156</v>
      </c>
      <c r="C72" s="11"/>
      <c r="D72" s="11" t="str">
        <f ca="1">IFERROR(__xludf.DUMMYFUNCTION("GOOGLETRANSLATE($B72,(""auto""),(""es""))"),"Retire la canasta delantera - B0")</f>
        <v>Retire la canasta delantera - B0</v>
      </c>
      <c r="E72" s="11" t="str">
        <f ca="1">IFERROR(__xludf.DUMMYFUNCTION("GOOGLETRANSLATE($B72,(""auto""),(""FR""))"),"Retirez le panier avant - B0")</f>
        <v>Retirez le panier avant - B0</v>
      </c>
      <c r="F72" s="11" t="str">
        <f ca="1">IFERROR(__xludf.DUMMYFUNCTION("GOOGLETRANSLATE($B72,(""auto""),(""IT""))"),"Rimuovere il cestino anteriore - B0")</f>
        <v>Rimuovere il cestino anteriore - B0</v>
      </c>
    </row>
    <row r="73" spans="1:30" ht="26.25" customHeight="1">
      <c r="A73" s="10">
        <v>2</v>
      </c>
      <c r="B73" s="11" t="s">
        <v>149</v>
      </c>
      <c r="C73" s="11"/>
      <c r="D73" s="11" t="str">
        <f ca="1">IFERROR(__xludf.DUMMYFUNCTION("GOOGLETRANSLATE($B73,(""auto""),(""es""))"),"Retire la cubierta frontal - B1")</f>
        <v>Retire la cubierta frontal - B1</v>
      </c>
      <c r="E73" s="11" t="str">
        <f ca="1">IFERROR(__xludf.DUMMYFUNCTION("GOOGLETRANSLATE($B73,(""auto""),(""FR""))"),"Retirez le couvercle avant - B1")</f>
        <v>Retirez le couvercle avant - B1</v>
      </c>
      <c r="F73" s="11" t="str">
        <f ca="1">IFERROR(__xludf.DUMMYFUNCTION("GOOGLETRANSLATE($B73,(""auto""),(""IT""))"),"Rimuovere il coperchio anteriore - B1")</f>
        <v>Rimuovere il coperchio anteriore - B1</v>
      </c>
    </row>
    <row r="74" spans="1:30" ht="26.25" customHeight="1">
      <c r="A74" s="10">
        <v>3</v>
      </c>
      <c r="B74" s="11" t="s">
        <v>228</v>
      </c>
      <c r="C74" s="11"/>
      <c r="D74" s="11" t="str">
        <f ca="1">IFERROR(__xludf.DUMMYFUNCTION("GOOGLETRANSLATE($B74,(""auto""),(""es""))"),"Retire los escudos delanteros izquierdo y derecho - B5")</f>
        <v>Retire los escudos delanteros izquierdo y derecho - B5</v>
      </c>
      <c r="E74" s="11" t="str">
        <f ca="1">IFERROR(__xludf.DUMMYFUNCTION("GOOGLETRANSLATE($B74,(""auto""),(""FR""))"),"Retirez les boucliers avant gauche et droit - B5")</f>
        <v>Retirez les boucliers avant gauche et droit - B5</v>
      </c>
      <c r="F74" s="11" t="str">
        <f ca="1">IFERROR(__xludf.DUMMYFUNCTION("GOOGLETRANSLATE($B74,(""auto""),(""IT""))"),"Rimuovere gli scudi anteriori sinistro e destro - B5")</f>
        <v>Rimuovere gli scudi anteriori sinistro e destro - B5</v>
      </c>
    </row>
    <row r="75" spans="1:30" ht="26.25" customHeight="1">
      <c r="A75" s="10">
        <v>4</v>
      </c>
      <c r="B75" s="11" t="s">
        <v>229</v>
      </c>
      <c r="C75" s="11"/>
      <c r="D75" s="11" t="str">
        <f ca="1">IFERROR(__xludf.DUMMYFUNCTION("GOOGLETRANSLATE($B75,(""auto""),(""es""))"),"Quítate el pedal - B7")</f>
        <v>Quítate el pedal - B7</v>
      </c>
      <c r="E75" s="11" t="str">
        <f ca="1">IFERROR(__xludf.DUMMYFUNCTION("GOOGLETRANSLATE($B75,(""auto""),(""FR""))"),"Enlever la pédale - B7")</f>
        <v>Enlever la pédale - B7</v>
      </c>
      <c r="F75" s="11" t="str">
        <f ca="1">IFERROR(__xludf.DUMMYFUNCTION("GOOGLETRANSLATE($B75,(""auto""),(""IT""))"),"Togli il pedale - B7")</f>
        <v>Togli il pedale - B7</v>
      </c>
    </row>
    <row r="76" spans="1:30" ht="26.25" customHeight="1">
      <c r="A76" s="10">
        <v>5</v>
      </c>
      <c r="B76" s="11" t="s">
        <v>271</v>
      </c>
      <c r="C76" s="11"/>
      <c r="D76" s="11" t="str">
        <f ca="1">IFERROR(__xludf.DUMMYFUNCTION("GOOGLETRANSLATE($B76,(""auto""),(""es""))"),"Retire la tira de cubierta (izquierda/derecha) - B8")</f>
        <v>Retire la tira de cubierta (izquierda/derecha) - B8</v>
      </c>
      <c r="E76" s="11" t="str">
        <f ca="1">IFERROR(__xludf.DUMMYFUNCTION("GOOGLETRANSLATE($B76,(""auto""),(""FR""))"),"Retirez la bande de couverture (gauche / droite) - B8")</f>
        <v>Retirez la bande de couverture (gauche / droite) - B8</v>
      </c>
      <c r="F76" s="11" t="str">
        <f ca="1">IFERROR(__xludf.DUMMYFUNCTION("GOOGLETRANSLATE($B76,(""auto""),(""IT""))"),"Rimuovere la striscia di copertura (sinistra/destra) - B8")</f>
        <v>Rimuovere la striscia di copertura (sinistra/destra) - B8</v>
      </c>
    </row>
    <row r="77" spans="1:30" ht="26.25" customHeight="1">
      <c r="A77" s="10">
        <v>6</v>
      </c>
      <c r="B77" s="11" t="s">
        <v>272</v>
      </c>
      <c r="C77" s="11"/>
      <c r="D77" s="11" t="str">
        <f ca="1">IFERROR(__xludf.DUMMYFUNCTION("GOOGLETRANSLATE($B77,(""auto""),(""es""))"),"Retire el gancho - B9")</f>
        <v>Retire el gancho - B9</v>
      </c>
      <c r="E77" s="11" t="str">
        <f ca="1">IFERROR(__xludf.DUMMYFUNCTION("GOOGLETRANSLATE($B77,(""auto""),(""FR""))"),"Retirez le crochet - B9")</f>
        <v>Retirez le crochet - B9</v>
      </c>
      <c r="F77" s="11" t="str">
        <f ca="1">IFERROR(__xludf.DUMMYFUNCTION("GOOGLETRANSLATE($B77,(""auto""),(""IT""))"),"Rimuovi il gancio - B9")</f>
        <v>Rimuovi il gancio - B9</v>
      </c>
    </row>
    <row r="78" spans="1:30">
      <c r="A78" s="10">
        <v>7</v>
      </c>
      <c r="B78" s="11" t="s">
        <v>273</v>
      </c>
      <c r="C78" s="6"/>
      <c r="D78" s="11" t="str">
        <f ca="1">IFERROR(__xludf.DUMMYFUNCTION("GOOGLETRANSLATE($B78,(""auto""),(""es""))"),"Retire la cubierta de bloqueo de energía - B10")</f>
        <v>Retire la cubierta de bloqueo de energía - B10</v>
      </c>
      <c r="E78" s="11" t="str">
        <f ca="1">IFERROR(__xludf.DUMMYFUNCTION("GOOGLETRANSLATE($B78,(""auto""),(""FR""))"),"Retirez le couvercle de verrouillage d'alimentation - B10")</f>
        <v>Retirez le couvercle de verrouillage d'alimentation - B10</v>
      </c>
      <c r="F78" s="11" t="str">
        <f ca="1">IFERROR(__xludf.DUMMYFUNCTION("GOOGLETRANSLATE($B78,(""auto""),(""IT""))"),"Rimuovere il coperchio del blocco di alimentazione - B10")</f>
        <v>Rimuovere il coperchio del blocco di alimentazione - B10</v>
      </c>
      <c r="G78" s="12"/>
      <c r="H78" s="12"/>
      <c r="I78" s="12"/>
      <c r="J78" s="12"/>
      <c r="K78" s="12"/>
      <c r="L78" s="12"/>
      <c r="M78" s="12"/>
      <c r="N78" s="12"/>
      <c r="O78" s="12"/>
      <c r="P78" s="12"/>
      <c r="Q78" s="12"/>
      <c r="R78" s="12"/>
      <c r="S78" s="12"/>
      <c r="T78" s="12"/>
      <c r="U78" s="12"/>
      <c r="V78" s="12"/>
      <c r="W78" s="12"/>
      <c r="X78" s="12"/>
      <c r="Y78" s="12"/>
      <c r="Z78" s="12"/>
      <c r="AA78" s="12"/>
      <c r="AB78" s="12"/>
      <c r="AC78" s="12"/>
      <c r="AD78" s="12"/>
    </row>
    <row r="79" spans="1:30" ht="26.25" customHeight="1">
      <c r="A79" s="10">
        <v>8</v>
      </c>
      <c r="B79" s="11" t="s">
        <v>277</v>
      </c>
      <c r="C79" s="6"/>
      <c r="D79" s="11" t="str">
        <f ca="1">IFERROR(__xludf.DUMMYFUNCTION("GOOGLETRANSLATE($B79,(""auto""),(""es""))"),"Retire la cubierta de la viga principal - B11")</f>
        <v>Retire la cubierta de la viga principal - B11</v>
      </c>
      <c r="E79" s="11" t="str">
        <f ca="1">IFERROR(__xludf.DUMMYFUNCTION("GOOGLETRANSLATE($B79,(""auto""),(""FR""))"),"Retirez le couvercle de la poutre principale - B11")</f>
        <v>Retirez le couvercle de la poutre principale - B11</v>
      </c>
      <c r="F79" s="11" t="str">
        <f ca="1">IFERROR(__xludf.DUMMYFUNCTION("GOOGLETRANSLATE($B79,(""auto""),(""IT""))"),"Rimuovere il coperchio della trave principale - B11")</f>
        <v>Rimuovere il coperchio della trave principale - B11</v>
      </c>
      <c r="G79" s="12"/>
      <c r="H79" s="12"/>
      <c r="I79" s="12"/>
      <c r="J79" s="12"/>
      <c r="K79" s="12"/>
      <c r="L79" s="12"/>
      <c r="M79" s="12"/>
      <c r="N79" s="12"/>
      <c r="O79" s="12"/>
      <c r="P79" s="12"/>
      <c r="Q79" s="12"/>
      <c r="R79" s="12"/>
      <c r="S79" s="12"/>
      <c r="T79" s="12"/>
      <c r="U79" s="12"/>
      <c r="V79" s="12"/>
      <c r="W79" s="12"/>
      <c r="X79" s="12"/>
      <c r="Y79" s="12"/>
      <c r="Z79" s="12"/>
      <c r="AA79" s="12"/>
      <c r="AB79" s="12"/>
      <c r="AC79" s="12"/>
      <c r="AD79" s="12"/>
    </row>
    <row r="80" spans="1:30">
      <c r="A80" s="69" t="s">
        <v>150</v>
      </c>
      <c r="B80" s="70" t="s">
        <v>151</v>
      </c>
      <c r="C80" s="70" t="s">
        <v>152</v>
      </c>
      <c r="D80" s="70" t="str">
        <f ca="1">IFERROR(__xludf.DUMMYFUNCTION("GOOGLETRANSLATE(B80,(""auto""),(""es""))"),"Descripción")</f>
        <v>Descripción</v>
      </c>
      <c r="E80" s="70" t="str">
        <f ca="1">IFERROR(__xludf.DUMMYFUNCTION("GOOGLETRANSLATE(B80,(""auto""),(""fr""))"),"Description")</f>
        <v>Description</v>
      </c>
      <c r="F80" s="70" t="str">
        <f ca="1">IFERROR(__xludf.DUMMYFUNCTION("GOOGLETRANSLATE(D80,(""auto""),(""IT""))"),"Descrizione")</f>
        <v>Descrizione</v>
      </c>
    </row>
    <row r="81" spans="1:30" ht="104.25" customHeight="1">
      <c r="A81" s="10">
        <v>1</v>
      </c>
      <c r="B81" s="11" t="s">
        <v>278</v>
      </c>
      <c r="C81" s="6"/>
      <c r="D81" s="11" t="str">
        <f ca="1">IFERROR(__xludf.DUMMYFUNCTION("GOOGLETRANSLATE($B81,(""auto""),(""es""))"),"Retire los 2 tornillos izquierdo y derecho en el círculo rojo de la cubierta inferior delantera con un destornillador de Phillips y retire la guantera")</f>
        <v>Retire los 2 tornillos izquierdo y derecho en el círculo rojo de la cubierta inferior delantera con un destornillador de Phillips y retire la guantera</v>
      </c>
      <c r="E81" s="11" t="str">
        <f ca="1">IFERROR(__xludf.DUMMYFUNCTION("GOOGLETRANSLATE($B81,(""auto""),(""FR""))"),"Retirez les 2 vis gauche et droite dans le cercle rouge du couvercle inférieur avant avec un tournevis Phillips et retirez la boîte à gants")</f>
        <v>Retirez les 2 vis gauche et droite dans le cercle rouge du couvercle inférieur avant avec un tournevis Phillips et retirez la boîte à gants</v>
      </c>
      <c r="F81" s="11" t="str">
        <f ca="1">IFERROR(__xludf.DUMMYFUNCTION("GOOGLETRANSLATE($B81,(""auto""),(""IT""))"),"Rimuovere le viti sinistro e destro nel cerchio rosso del coperchio inferiore anteriore con un cacciavite Phillips e rimuovere la scatola del guanto")</f>
        <v>Rimuovere le viti sinistro e destro nel cerchio rosso del coperchio inferiore anteriore con un cacciavite Phillips e rimuovere la scatola del guanto</v>
      </c>
      <c r="G81" s="12"/>
      <c r="H81" s="12"/>
      <c r="I81" s="12"/>
      <c r="J81" s="12"/>
      <c r="K81" s="12"/>
      <c r="L81" s="12"/>
      <c r="M81" s="12"/>
      <c r="N81" s="12"/>
      <c r="O81" s="12"/>
      <c r="P81" s="12"/>
      <c r="Q81" s="12"/>
      <c r="R81" s="12"/>
      <c r="S81" s="12"/>
      <c r="T81" s="12"/>
      <c r="U81" s="12"/>
      <c r="V81" s="12"/>
      <c r="W81" s="12"/>
      <c r="X81" s="12"/>
      <c r="Y81" s="12"/>
      <c r="Z81" s="12"/>
      <c r="AA81" s="12"/>
      <c r="AB81" s="12"/>
      <c r="AC81" s="12"/>
      <c r="AD81" s="12"/>
    </row>
    <row r="82" spans="1:30" ht="26.25" customHeight="1">
      <c r="A82" s="73"/>
      <c r="B82" s="73" t="s">
        <v>279</v>
      </c>
      <c r="C82" s="73"/>
      <c r="D82" s="73" t="str">
        <f ca="1">IFERROR(__xludf.DUMMYFUNCTION("GOOGLETRANSLATE($B82,(""auto""),(""es""))"),"B13 - Vin Cover")</f>
        <v>B13 - Vin Cover</v>
      </c>
      <c r="E82" s="73" t="str">
        <f ca="1">IFERROR(__xludf.DUMMYFUNCTION("GOOGLETRANSLATE($B82,(""auto""),(""FR""))"),"B13 - couverture vin")</f>
        <v>B13 - couverture vin</v>
      </c>
      <c r="F82" s="73" t="str">
        <f ca="1">IFERROR(__xludf.DUMMYFUNCTION("GOOGLETRANSLATE($B82,(""auto""),(""IT""))"),"B13 - Copertura VIN")</f>
        <v>B13 - Copertura VIN</v>
      </c>
      <c r="G82" s="9"/>
      <c r="H82" s="9"/>
      <c r="I82" s="9"/>
      <c r="J82" s="9"/>
      <c r="K82" s="9"/>
      <c r="L82" s="9"/>
      <c r="M82" s="9"/>
      <c r="N82" s="9"/>
      <c r="O82" s="9"/>
      <c r="P82" s="9"/>
      <c r="Q82" s="9"/>
      <c r="R82" s="9"/>
      <c r="S82" s="9"/>
      <c r="T82" s="9"/>
      <c r="U82" s="9"/>
      <c r="V82" s="9"/>
      <c r="W82" s="9"/>
      <c r="X82" s="9"/>
      <c r="Y82" s="9"/>
      <c r="Z82" s="9"/>
      <c r="AA82" s="9"/>
      <c r="AB82" s="9"/>
      <c r="AC82" s="9"/>
      <c r="AD82" s="9"/>
    </row>
    <row r="83" spans="1:30">
      <c r="A83" s="69" t="s">
        <v>150</v>
      </c>
      <c r="B83" s="70" t="s">
        <v>151</v>
      </c>
      <c r="C83" s="70" t="s">
        <v>152</v>
      </c>
      <c r="D83" s="70" t="str">
        <f ca="1">IFERROR(__xludf.DUMMYFUNCTION("GOOGLETRANSLATE(B83,(""auto""),(""es""))"),"Descripción")</f>
        <v>Descripción</v>
      </c>
      <c r="E83" s="70" t="str">
        <f ca="1">IFERROR(__xludf.DUMMYFUNCTION("GOOGLETRANSLATE(B83,(""auto""),(""fr""))"),"Description")</f>
        <v>Description</v>
      </c>
      <c r="F83" s="70" t="str">
        <f ca="1">IFERROR(__xludf.DUMMYFUNCTION("GOOGLETRANSLATE(D83,(""auto""),(""IT""))"),"Descrizione")</f>
        <v>Descrizione</v>
      </c>
    </row>
    <row r="84" spans="1:30" ht="106.5" customHeight="1">
      <c r="A84" s="10">
        <v>1</v>
      </c>
      <c r="B84" s="11" t="s">
        <v>280</v>
      </c>
      <c r="C84" s="6"/>
      <c r="D84" s="11" t="str">
        <f ca="1">IFERROR(__xludf.DUMMYFUNCTION("GOOGLETRANSLATE($B84,(""auto""),(""es""))"),"Usando un destornillador recto para sacar la cubierta de vinculación en el círculo rojo")</f>
        <v>Usando un destornillador recto para sacar la cubierta de vinculación en el círculo rojo</v>
      </c>
      <c r="E84" s="11" t="str">
        <f ca="1">IFERROR(__xludf.DUMMYFUNCTION("GOOGLETRANSLATE($B84,(""auto""),(""FR""))"),"Utilisation du tournevis droit pour extraire le couvercle de la vin dans le cercle rouge")</f>
        <v>Utilisation du tournevis droit pour extraire le couvercle de la vin dans le cercle rouge</v>
      </c>
      <c r="F84" s="11" t="str">
        <f ca="1">IFERROR(__xludf.DUMMYFUNCTION("GOOGLETRANSLATE($B84,(""auto""),(""IT""))"),"Usando il cacciavite dritto per strappare il coperchio VIN nel cerchio rosso")</f>
        <v>Usando il cacciavite dritto per strappare il coperchio VIN nel cerchio rosso</v>
      </c>
      <c r="G84" s="12"/>
      <c r="H84" s="12"/>
      <c r="I84" s="12"/>
      <c r="J84" s="12"/>
      <c r="K84" s="12"/>
      <c r="L84" s="12"/>
      <c r="M84" s="12"/>
      <c r="N84" s="12"/>
      <c r="O84" s="12"/>
      <c r="P84" s="12"/>
      <c r="Q84" s="12"/>
      <c r="R84" s="12"/>
      <c r="S84" s="12"/>
      <c r="T84" s="12"/>
      <c r="U84" s="12"/>
      <c r="V84" s="12"/>
      <c r="W84" s="12"/>
      <c r="X84" s="12"/>
      <c r="Y84" s="12"/>
      <c r="Z84" s="12"/>
      <c r="AA84" s="12"/>
      <c r="AB84" s="12"/>
      <c r="AC84" s="12"/>
      <c r="AD84" s="12"/>
    </row>
    <row r="85" spans="1:30" ht="26.25" customHeight="1">
      <c r="A85" s="73"/>
      <c r="B85" s="73" t="s">
        <v>281</v>
      </c>
      <c r="C85" s="73"/>
      <c r="D85" s="73" t="str">
        <f ca="1">IFERROR(__xludf.DUMMYFUNCTION("GOOGLETRANSLATE($B85,(""auto""),(""es""))"),"B14 - Cubierta trasera del faro")</f>
        <v>B14 - Cubierta trasera del faro</v>
      </c>
      <c r="E85" s="73" t="str">
        <f ca="1">IFERROR(__xludf.DUMMYFUNCTION("GOOGLETRANSLATE($B85,(""auto""),(""FR""))"),"B14 - Couvercle arrière du phare")</f>
        <v>B14 - Couvercle arrière du phare</v>
      </c>
      <c r="F85" s="73" t="str">
        <f ca="1">IFERROR(__xludf.DUMMYFUNCTION("GOOGLETRANSLATE($B85,(""auto""),(""IT""))"),"B14 - Coperchio posteriore del faro")</f>
        <v>B14 - Coperchio posteriore del faro</v>
      </c>
      <c r="G85" s="9"/>
      <c r="H85" s="9"/>
      <c r="I85" s="9"/>
      <c r="J85" s="9"/>
      <c r="K85" s="9"/>
      <c r="L85" s="9"/>
      <c r="M85" s="9"/>
      <c r="N85" s="9"/>
      <c r="O85" s="9"/>
      <c r="P85" s="9"/>
      <c r="Q85" s="9"/>
      <c r="R85" s="9"/>
      <c r="S85" s="9"/>
      <c r="T85" s="9"/>
      <c r="U85" s="9"/>
      <c r="V85" s="9"/>
      <c r="W85" s="9"/>
      <c r="X85" s="9"/>
      <c r="Y85" s="9"/>
      <c r="Z85" s="9"/>
      <c r="AA85" s="9"/>
      <c r="AB85" s="9"/>
      <c r="AC85" s="9"/>
      <c r="AD85" s="9"/>
    </row>
    <row r="86" spans="1:30">
      <c r="A86" s="69" t="s">
        <v>145</v>
      </c>
      <c r="B86" s="70" t="s">
        <v>146</v>
      </c>
      <c r="C86" s="70" t="s">
        <v>147</v>
      </c>
      <c r="D86" s="70" t="str">
        <f ca="1">IFERROR(__xludf.DUMMYFUNCTION("GOOGLETRANSLATE(B86,(""auto""),(""es""))"),"Preparación:")</f>
        <v>Preparación:</v>
      </c>
      <c r="E86" s="70" t="str">
        <f ca="1">IFERROR(__xludf.DUMMYFUNCTION("GOOGLETRANSLATE(B86,(""auto""),(""fr""))"),"Préparation:")</f>
        <v>Préparation:</v>
      </c>
      <c r="F86" s="70" t="str">
        <f ca="1">IFERROR(__xludf.DUMMYFUNCTION("GOOGLETRANSLATE(D86,(""auto""),(""IT""))"),"Preparazione:")</f>
        <v>Preparazione:</v>
      </c>
    </row>
    <row r="87" spans="1:30" ht="26.25" customHeight="1">
      <c r="A87" s="10">
        <v>1</v>
      </c>
      <c r="B87" s="11" t="s">
        <v>282</v>
      </c>
      <c r="C87" s="6"/>
      <c r="D87" s="11" t="str">
        <f ca="1">IFERROR(__xludf.DUMMYFUNCTION("GOOGLETRANSLATE($B87,(""auto""),(""es""))")," Retire la canasta delantera - B0")</f>
        <v xml:space="preserve"> Retire la canasta delantera - B0</v>
      </c>
      <c r="E87" s="11" t="str">
        <f ca="1">IFERROR(__xludf.DUMMYFUNCTION("GOOGLETRANSLATE($B87,(""auto""),(""FR""))")," Retirer le panier avant - B0")</f>
        <v xml:space="preserve"> Retirer le panier avant - B0</v>
      </c>
      <c r="F87" s="11" t="str">
        <f ca="1">IFERROR(__xludf.DUMMYFUNCTION("GOOGLETRANSLATE($B87,(""auto""),(""IT""))")," Rimuovere il cestino anteriore - B0")</f>
        <v xml:space="preserve"> Rimuovere il cestino anteriore - B0</v>
      </c>
      <c r="G87" s="12"/>
      <c r="H87" s="12"/>
      <c r="I87" s="12"/>
      <c r="J87" s="12"/>
      <c r="K87" s="12"/>
      <c r="L87" s="12"/>
      <c r="M87" s="12"/>
      <c r="N87" s="12"/>
      <c r="O87" s="12"/>
      <c r="P87" s="12"/>
      <c r="Q87" s="12"/>
      <c r="R87" s="12"/>
      <c r="S87" s="12"/>
      <c r="T87" s="12"/>
      <c r="U87" s="12"/>
      <c r="V87" s="12"/>
      <c r="W87" s="12"/>
      <c r="X87" s="12"/>
      <c r="Y87" s="12"/>
      <c r="Z87" s="12"/>
      <c r="AA87" s="12"/>
      <c r="AB87" s="12"/>
      <c r="AC87" s="12"/>
      <c r="AD87" s="12"/>
    </row>
    <row r="88" spans="1:30" ht="26.25" customHeight="1">
      <c r="A88" s="10">
        <v>2</v>
      </c>
      <c r="B88" s="11" t="s">
        <v>283</v>
      </c>
      <c r="C88" s="6"/>
      <c r="D88" s="11" t="str">
        <f ca="1">IFERROR(__xludf.DUMMYFUNCTION("GOOGLETRANSLATE($B88,(""auto""),(""es""))"),"
Retire la cubierta frontal -B1")</f>
        <v xml:space="preserve">
Retire la cubierta frontal -B1</v>
      </c>
      <c r="E88" s="11" t="str">
        <f ca="1">IFERROR(__xludf.DUMMYFUNCTION("GOOGLETRANSLATE($B88,(""auto""),(""FR""))"),"
Retirer la couverture avant -B1")</f>
        <v xml:space="preserve">
Retirer la couverture avant -B1</v>
      </c>
      <c r="F88" s="11" t="str">
        <f ca="1">IFERROR(__xludf.DUMMYFUNCTION("GOOGLETRANSLATE($B88,(""auto""),(""IT""))"),"
Rimuovere il coperchio anteriore -b1")</f>
        <v xml:space="preserve">
Rimuovere il coperchio anteriore -b1</v>
      </c>
      <c r="G88" s="12"/>
      <c r="H88" s="12"/>
      <c r="I88" s="12"/>
      <c r="J88" s="12"/>
      <c r="K88" s="12"/>
      <c r="L88" s="12"/>
      <c r="M88" s="12"/>
      <c r="N88" s="12"/>
      <c r="O88" s="12"/>
      <c r="P88" s="12"/>
      <c r="Q88" s="12"/>
      <c r="R88" s="12"/>
      <c r="S88" s="12"/>
      <c r="T88" s="12"/>
      <c r="U88" s="12"/>
      <c r="V88" s="12"/>
      <c r="W88" s="12"/>
      <c r="X88" s="12"/>
      <c r="Y88" s="12"/>
      <c r="Z88" s="12"/>
      <c r="AA88" s="12"/>
      <c r="AB88" s="12"/>
      <c r="AC88" s="12"/>
      <c r="AD88" s="12"/>
    </row>
    <row r="89" spans="1:30" ht="26.25" customHeight="1">
      <c r="A89" s="10">
        <v>3</v>
      </c>
      <c r="B89" s="11" t="s">
        <v>284</v>
      </c>
      <c r="C89" s="6"/>
      <c r="D89" s="11" t="str">
        <f ca="1">IFERROR(__xludf.DUMMYFUNCTION("GOOGLETRANSLATE($B89,(""auto""),(""es""))")," Retire el conjunto de los faros delanteros - A1")</f>
        <v xml:space="preserve"> Retire el conjunto de los faros delanteros - A1</v>
      </c>
      <c r="E89" s="11" t="str">
        <f ca="1">IFERROR(__xludf.DUMMYFUNCTION("GOOGLETRANSLATE($B89,(""auto""),(""FR""))")," Retirer l'assemblage des phares - A1")</f>
        <v xml:space="preserve"> Retirer l'assemblage des phares - A1</v>
      </c>
      <c r="F89" s="11" t="str">
        <f ca="1">IFERROR(__xludf.DUMMYFUNCTION("GOOGLETRANSLATE($B89,(""auto""),(""IT""))")," Rimuovere il gruppo faro - A1")</f>
        <v xml:space="preserve"> Rimuovere il gruppo faro - A1</v>
      </c>
      <c r="G89" s="12"/>
      <c r="H89" s="12"/>
      <c r="I89" s="12"/>
      <c r="J89" s="12"/>
      <c r="K89" s="12"/>
      <c r="L89" s="12"/>
      <c r="M89" s="12"/>
      <c r="N89" s="12"/>
      <c r="O89" s="12"/>
      <c r="P89" s="12"/>
      <c r="Q89" s="12"/>
      <c r="R89" s="12"/>
      <c r="S89" s="12"/>
      <c r="T89" s="12"/>
      <c r="U89" s="12"/>
      <c r="V89" s="12"/>
      <c r="W89" s="12"/>
      <c r="X89" s="12"/>
      <c r="Y89" s="12"/>
      <c r="Z89" s="12"/>
      <c r="AA89" s="12"/>
      <c r="AB89" s="12"/>
      <c r="AC89" s="12"/>
      <c r="AD89" s="12"/>
    </row>
    <row r="90" spans="1:30" ht="26.25" customHeight="1">
      <c r="A90" s="10">
        <v>4</v>
      </c>
      <c r="B90" s="11" t="s">
        <v>285</v>
      </c>
      <c r="C90" s="6"/>
      <c r="D90" s="11" t="str">
        <f ca="1">IFERROR(__xludf.DUMMYFUNCTION("GOOGLETRANSLATE($B90,(""auto""),(""es""))"),"Retire los escudos laterales frontales derecho e izquierdo - B5")</f>
        <v>Retire los escudos laterales frontales derecho e izquierdo - B5</v>
      </c>
      <c r="E90" s="11" t="str">
        <f ca="1">IFERROR(__xludf.DUMMYFUNCTION("GOOGLETRANSLATE($B90,(""auto""),(""FR""))"),"Retirer les boucliers côté avant droit et gauche - B5")</f>
        <v>Retirer les boucliers côté avant droit et gauche - B5</v>
      </c>
      <c r="F90" s="11" t="str">
        <f ca="1">IFERROR(__xludf.DUMMYFUNCTION("GOOGLETRANSLATE($B90,(""auto""),(""IT""))"),"Rimuovere gli scudi del lato anteriore destro e sinistro - B5")</f>
        <v>Rimuovere gli scudi del lato anteriore destro e sinistro - B5</v>
      </c>
      <c r="G90" s="12"/>
      <c r="H90" s="12"/>
      <c r="I90" s="12"/>
      <c r="J90" s="12"/>
      <c r="K90" s="12"/>
      <c r="L90" s="12"/>
      <c r="M90" s="12"/>
      <c r="N90" s="12"/>
      <c r="O90" s="12"/>
      <c r="P90" s="12"/>
      <c r="Q90" s="12"/>
      <c r="R90" s="12"/>
      <c r="S90" s="12"/>
      <c r="T90" s="12"/>
      <c r="U90" s="12"/>
      <c r="V90" s="12"/>
      <c r="W90" s="12"/>
      <c r="X90" s="12"/>
      <c r="Y90" s="12"/>
      <c r="Z90" s="12"/>
      <c r="AA90" s="12"/>
      <c r="AB90" s="12"/>
      <c r="AC90" s="12"/>
      <c r="AD90" s="12"/>
    </row>
    <row r="91" spans="1:30" ht="26.25" customHeight="1">
      <c r="A91" s="10">
        <v>5</v>
      </c>
      <c r="B91" s="11" t="s">
        <v>286</v>
      </c>
      <c r="C91" s="6"/>
      <c r="D91" s="11" t="str">
        <f ca="1">IFERROR(__xludf.DUMMYFUNCTION("GOOGLETRANSLATE($B91,(""auto""),(""es""))"),"Retire los guanvenidos frontales derecho e izquierdo - A14")</f>
        <v>Retire los guanvenidos frontales derecho e izquierdo - A14</v>
      </c>
      <c r="E91" s="11" t="str">
        <f ca="1">IFERROR(__xludf.DUMMYFUNCTION("GOOGLETRANSLATE($B91,(""auto""),(""FR""))"),"Retirer les clinages avant droit et gauche - A14")</f>
        <v>Retirer les clinages avant droit et gauche - A14</v>
      </c>
      <c r="F91" s="11" t="str">
        <f ca="1">IFERROR(__xludf.DUMMYFUNCTION("GOOGLETRANSLATE($B91,(""auto""),(""IT""))"),"Rimuovere gli occhiali anteriori destro e sinistro - A14")</f>
        <v>Rimuovere gli occhiali anteriori destro e sinistro - A14</v>
      </c>
      <c r="G91" s="12"/>
      <c r="H91" s="12"/>
      <c r="I91" s="12"/>
      <c r="J91" s="12"/>
      <c r="K91" s="12"/>
      <c r="L91" s="12"/>
      <c r="M91" s="12"/>
      <c r="N91" s="12"/>
      <c r="O91" s="12"/>
      <c r="P91" s="12"/>
      <c r="Q91" s="12"/>
      <c r="R91" s="12"/>
      <c r="S91" s="12"/>
      <c r="T91" s="12"/>
      <c r="U91" s="12"/>
      <c r="V91" s="12"/>
      <c r="W91" s="12"/>
      <c r="X91" s="12"/>
      <c r="Y91" s="12"/>
      <c r="Z91" s="12"/>
      <c r="AA91" s="12"/>
      <c r="AB91" s="12"/>
      <c r="AC91" s="12"/>
      <c r="AD91" s="12"/>
    </row>
    <row r="92" spans="1:30" ht="26.25" customHeight="1">
      <c r="A92" s="10">
        <v>6</v>
      </c>
      <c r="B92" s="11" t="s">
        <v>287</v>
      </c>
      <c r="C92" s="6"/>
      <c r="D92" s="11" t="str">
        <f ca="1">IFERROR(__xludf.DUMMYFUNCTION("GOOGLETRANSLATE($B92,(""auto""),(""es""))"),"Retire la cubierta del farol - B6")</f>
        <v>Retire la cubierta del farol - B6</v>
      </c>
      <c r="E92" s="11" t="str">
        <f ca="1">IFERROR(__xludf.DUMMYFUNCTION("GOOGLETRANSLATE($B92,(""auto""),(""FR""))"),"Retirer le couvercle des phares - B6")</f>
        <v>Retirer le couvercle des phares - B6</v>
      </c>
      <c r="F92" s="11" t="str">
        <f ca="1">IFERROR(__xludf.DUMMYFUNCTION("GOOGLETRANSLATE($B92,(""auto""),(""IT""))"),"Rimuovi il coperchio del faro - B6")</f>
        <v>Rimuovi il coperchio del faro - B6</v>
      </c>
      <c r="G92" s="12"/>
      <c r="H92" s="12"/>
      <c r="I92" s="12"/>
      <c r="J92" s="12"/>
      <c r="K92" s="12"/>
      <c r="L92" s="12"/>
      <c r="M92" s="12"/>
      <c r="N92" s="12"/>
      <c r="O92" s="12"/>
      <c r="P92" s="12"/>
      <c r="Q92" s="12"/>
      <c r="R92" s="12"/>
      <c r="S92" s="12"/>
      <c r="T92" s="12"/>
      <c r="U92" s="12"/>
      <c r="V92" s="12"/>
      <c r="W92" s="12"/>
      <c r="X92" s="12"/>
      <c r="Y92" s="12"/>
      <c r="Z92" s="12"/>
      <c r="AA92" s="12"/>
      <c r="AB92" s="12"/>
      <c r="AC92" s="12"/>
      <c r="AD92" s="12"/>
    </row>
    <row r="93" spans="1:30">
      <c r="A93" s="69" t="s">
        <v>150</v>
      </c>
      <c r="B93" s="70" t="s">
        <v>151</v>
      </c>
      <c r="C93" s="70" t="s">
        <v>152</v>
      </c>
      <c r="D93" s="70" t="str">
        <f ca="1">IFERROR(__xludf.DUMMYFUNCTION("GOOGLETRANSLATE(B93,(""auto""),(""es""))"),"Descripción")</f>
        <v>Descripción</v>
      </c>
      <c r="E93" s="70" t="str">
        <f ca="1">IFERROR(__xludf.DUMMYFUNCTION("GOOGLETRANSLATE(B93,(""auto""),(""fr""))"),"Description")</f>
        <v>Description</v>
      </c>
      <c r="F93" s="70" t="str">
        <f ca="1">IFERROR(__xludf.DUMMYFUNCTION("GOOGLETRANSLATE(D93,(""auto""),(""IT""))"),"Descrizione")</f>
        <v>Descrizione</v>
      </c>
    </row>
    <row r="94" spans="1:30" ht="90" customHeight="1">
      <c r="A94" s="10">
        <v>1</v>
      </c>
      <c r="B94" s="11" t="s">
        <v>288</v>
      </c>
      <c r="C94" s="6"/>
      <c r="D94" s="11" t="str">
        <f ca="1">IFERROR(__xludf.DUMMYFUNCTION("GOOGLETRANSLATE($B94,(""auto""),(""es""))"),"Retire 4 tornillos marcados en la foto con un destornillador de Phillips.")</f>
        <v>Retire 4 tornillos marcados en la foto con un destornillador de Phillips.</v>
      </c>
      <c r="E94" s="11" t="str">
        <f ca="1">IFERROR(__xludf.DUMMYFUNCTION("GOOGLETRANSLATE($B94,(""auto""),(""FR""))"),"Retirez 4 vis marqués en photo avec le tournevis Phillips.")</f>
        <v>Retirez 4 vis marqués en photo avec le tournevis Phillips.</v>
      </c>
      <c r="F94" s="11" t="str">
        <f ca="1">IFERROR(__xludf.DUMMYFUNCTION("GOOGLETRANSLATE($B94,(""auto""),(""IT""))"),"Rimuovere 4 viti contrassegnate in foto con cacciavite Phillips.")</f>
        <v>Rimuovere 4 viti contrassegnate in foto con cacciavite Phillips.</v>
      </c>
      <c r="G94" s="12"/>
      <c r="H94" s="12"/>
      <c r="I94" s="12"/>
      <c r="J94" s="12"/>
      <c r="K94" s="12"/>
      <c r="L94" s="12"/>
      <c r="M94" s="12"/>
      <c r="N94" s="12"/>
      <c r="O94" s="12"/>
      <c r="P94" s="12"/>
      <c r="Q94" s="12"/>
      <c r="R94" s="12"/>
      <c r="S94" s="12"/>
      <c r="T94" s="12"/>
      <c r="U94" s="12"/>
      <c r="V94" s="12"/>
      <c r="W94" s="12"/>
      <c r="X94" s="12"/>
      <c r="Y94" s="12"/>
      <c r="Z94" s="12"/>
      <c r="AA94" s="12"/>
      <c r="AB94" s="12"/>
      <c r="AC94" s="12"/>
      <c r="AD94" s="12"/>
    </row>
    <row r="95" spans="1:30" ht="26.25" customHeight="1">
      <c r="A95" s="73"/>
      <c r="B95" s="73" t="s">
        <v>289</v>
      </c>
      <c r="C95" s="73"/>
      <c r="D95" s="73" t="str">
        <f ca="1">IFERROR(__xludf.DUMMYFUNCTION("GOOGLETRANSLATE($B95,(""auto""),(""es""))"),"B15 - Placa advsrtising izquierda/derecha")</f>
        <v>B15 - Placa advsrtising izquierda/derecha</v>
      </c>
      <c r="E95" s="73" t="str">
        <f ca="1">IFERROR(__xludf.DUMMYFUNCTION("GOOGLETRANSLATE($B95,(""auto""),(""FR""))"),"B15 - plaque advsrtise gauche / droite")</f>
        <v>B15 - plaque advsrtise gauche / droite</v>
      </c>
      <c r="F95" s="73" t="str">
        <f ca="1">IFERROR(__xludf.DUMMYFUNCTION("GOOGLETRANSLATE($B95,(""auto""),(""IT""))"),"B15 - piastra AdvSrtiising sinistra/destra")</f>
        <v>B15 - piastra AdvSrtiising sinistra/destra</v>
      </c>
      <c r="G95" s="9"/>
      <c r="H95" s="9"/>
      <c r="I95" s="9"/>
      <c r="J95" s="9"/>
      <c r="K95" s="9"/>
      <c r="L95" s="9"/>
      <c r="M95" s="9"/>
      <c r="N95" s="9"/>
      <c r="O95" s="9"/>
      <c r="P95" s="9"/>
      <c r="Q95" s="9"/>
      <c r="R95" s="9"/>
      <c r="S95" s="9"/>
      <c r="T95" s="9"/>
      <c r="U95" s="9"/>
      <c r="V95" s="9"/>
      <c r="W95" s="9"/>
      <c r="X95" s="9"/>
      <c r="Y95" s="9"/>
      <c r="Z95" s="9"/>
      <c r="AA95" s="9"/>
      <c r="AB95" s="9"/>
      <c r="AC95" s="9"/>
      <c r="AD95" s="9"/>
    </row>
    <row r="96" spans="1:30">
      <c r="A96" s="69" t="s">
        <v>150</v>
      </c>
      <c r="B96" s="70" t="s">
        <v>151</v>
      </c>
      <c r="C96" s="70" t="s">
        <v>152</v>
      </c>
      <c r="D96" s="70" t="str">
        <f ca="1">IFERROR(__xludf.DUMMYFUNCTION("GOOGLETRANSLATE(B96,(""auto""),(""es""))"),"Descripción")</f>
        <v>Descripción</v>
      </c>
      <c r="E96" s="70" t="str">
        <f ca="1">IFERROR(__xludf.DUMMYFUNCTION("GOOGLETRANSLATE(B96,(""auto""),(""fr""))"),"Description")</f>
        <v>Description</v>
      </c>
      <c r="F96" s="70" t="str">
        <f ca="1">IFERROR(__xludf.DUMMYFUNCTION("GOOGLETRANSLATE(D96,(""auto""),(""IT""))"),"Descrizione")</f>
        <v>Descrizione</v>
      </c>
    </row>
    <row r="97" spans="1:30" ht="84" customHeight="1">
      <c r="A97" s="10">
        <v>1</v>
      </c>
      <c r="B97" s="11" t="s">
        <v>290</v>
      </c>
      <c r="C97" s="6"/>
      <c r="D97" s="11" t="str">
        <f ca="1">IFERROR(__xludf.DUMMYFUNCTION("GOOGLETRANSLATE($B97,(""auto""),(""es""))"),"Retire la izquierda y la derecha dos pernos con hexágono interno de 5 mm, tire hacia afuera y luego retire la placa advsrtising izquierda/derecha")</f>
        <v>Retire la izquierda y la derecha dos pernos con hexágono interno de 5 mm, tire hacia afuera y luego retire la placa advsrtising izquierda/derecha</v>
      </c>
      <c r="E97" s="11" t="str">
        <f ca="1">IFERROR(__xludf.DUMMYFUNCTION("GOOGLETRANSLATE($B97,(""auto""),(""FR""))"),"Retirez les deux boulons gauche et droit avec un hexagone intérieur de 5 mm, tirez vers l'extérieur puis retirez la plaque advsrtise gauche / droite")</f>
        <v>Retirez les deux boulons gauche et droit avec un hexagone intérieur de 5 mm, tirez vers l'extérieur puis retirez la plaque advsrtise gauche / droite</v>
      </c>
      <c r="F97" s="11" t="str">
        <f ca="1">IFERROR(__xludf.DUMMYFUNCTION("GOOGLETRANSLATE($B97,(""auto""),(""IT""))"),"Rimuovere i due bulloni sinistra e destra con esagono interno da 5 mm, estrarre verso l'esterno e quindi rimuovere la piastra di avanzamento sinistra/destra")</f>
        <v>Rimuovere i due bulloni sinistra e destra con esagono interno da 5 mm, estrarre verso l'esterno e quindi rimuovere la piastra di avanzamento sinistra/destra</v>
      </c>
      <c r="G97" s="12"/>
      <c r="H97" s="12"/>
      <c r="I97" s="12"/>
      <c r="J97" s="12"/>
      <c r="K97" s="12"/>
      <c r="L97" s="12"/>
      <c r="M97" s="12"/>
      <c r="N97" s="12"/>
      <c r="O97" s="12"/>
      <c r="P97" s="12"/>
      <c r="Q97" s="12"/>
      <c r="R97" s="12"/>
      <c r="S97" s="12"/>
      <c r="T97" s="12"/>
      <c r="U97" s="12"/>
      <c r="V97" s="12"/>
      <c r="W97" s="12"/>
      <c r="X97" s="12"/>
      <c r="Y97" s="12"/>
      <c r="Z97" s="12"/>
      <c r="AA97" s="12"/>
      <c r="AB97" s="12"/>
      <c r="AC97" s="12"/>
      <c r="AD97" s="12"/>
    </row>
    <row r="98" spans="1:30" ht="26.25" customHeight="1">
      <c r="A98" s="73"/>
      <c r="B98" s="73" t="s">
        <v>291</v>
      </c>
      <c r="C98" s="73"/>
      <c r="D98" s="73" t="str">
        <f ca="1">IFERROR(__xludf.DUMMYFUNCTION("GOOGLETRANSLATE($B98,(""auto""),(""es""))"),"B16 - Cubierta inferior trasera")</f>
        <v>B16 - Cubierta inferior trasera</v>
      </c>
      <c r="E98" s="73" t="str">
        <f ca="1">IFERROR(__xludf.DUMMYFUNCTION("GOOGLETRANSLATE($B98,(""auto""),(""FR""))"),"B16 - Couvercle inférieur arrière")</f>
        <v>B16 - Couvercle inférieur arrière</v>
      </c>
      <c r="F98" s="73" t="str">
        <f ca="1">IFERROR(__xludf.DUMMYFUNCTION("GOOGLETRANSLATE($B98,(""auto""),(""IT""))"),"B16 - Coperchio inferiore posteriore")</f>
        <v>B16 - Coperchio inferiore posteriore</v>
      </c>
      <c r="G98" s="9"/>
      <c r="H98" s="9"/>
      <c r="I98" s="9"/>
      <c r="J98" s="9"/>
      <c r="K98" s="9"/>
      <c r="L98" s="9"/>
      <c r="M98" s="9"/>
      <c r="N98" s="9"/>
      <c r="O98" s="9"/>
      <c r="P98" s="9"/>
      <c r="Q98" s="9"/>
      <c r="R98" s="9"/>
      <c r="S98" s="9"/>
      <c r="T98" s="9"/>
      <c r="U98" s="9"/>
      <c r="V98" s="9"/>
      <c r="W98" s="9"/>
      <c r="X98" s="9"/>
      <c r="Y98" s="9"/>
      <c r="Z98" s="9"/>
      <c r="AA98" s="9"/>
      <c r="AB98" s="9"/>
      <c r="AC98" s="9"/>
      <c r="AD98" s="9"/>
    </row>
    <row r="99" spans="1:30">
      <c r="A99" s="69" t="s">
        <v>145</v>
      </c>
      <c r="B99" s="70" t="s">
        <v>146</v>
      </c>
      <c r="C99" s="70" t="s">
        <v>147</v>
      </c>
      <c r="D99" s="70" t="str">
        <f ca="1">IFERROR(__xludf.DUMMYFUNCTION("GOOGLETRANSLATE(B99,(""auto""),(""es""))"),"Preparación:")</f>
        <v>Preparación:</v>
      </c>
      <c r="E99" s="70" t="str">
        <f ca="1">IFERROR(__xludf.DUMMYFUNCTION("GOOGLETRANSLATE(B99,(""auto""),(""fr""))"),"Préparation:")</f>
        <v>Préparation:</v>
      </c>
      <c r="F99" s="70" t="str">
        <f ca="1">IFERROR(__xludf.DUMMYFUNCTION("GOOGLETRANSLATE(D99,(""auto""),(""IT""))"),"Preparazione:")</f>
        <v>Preparazione:</v>
      </c>
    </row>
    <row r="100" spans="1:30" ht="26.25" customHeight="1">
      <c r="A100" s="10">
        <v>1</v>
      </c>
      <c r="B100" s="11" t="s">
        <v>292</v>
      </c>
      <c r="C100" s="6"/>
      <c r="D100" s="11" t="str">
        <f ca="1">IFERROR(__xludf.DUMMYFUNCTION("GOOGLETRANSLATE($B100,(""auto""),(""es""))")," Retire la caja de equipaje - B23")</f>
        <v xml:space="preserve"> Retire la caja de equipaje - B23</v>
      </c>
      <c r="E100" s="11" t="str">
        <f ca="1">IFERROR(__xludf.DUMMYFUNCTION("GOOGLETRANSLATE($B100,(""auto""),(""FR""))")," Retirer la boîte à bagages - B23")</f>
        <v xml:space="preserve"> Retirer la boîte à bagages - B23</v>
      </c>
      <c r="F100" s="11" t="str">
        <f ca="1">IFERROR(__xludf.DUMMYFUNCTION("GOOGLETRANSLATE($B100,(""auto""),(""IT""))")," Rimuovere la scatola del bagaglio - B23")</f>
        <v xml:space="preserve"> Rimuovere la scatola del bagaglio - B23</v>
      </c>
      <c r="G100" s="12"/>
      <c r="H100" s="12"/>
      <c r="I100" s="12"/>
      <c r="J100" s="12"/>
      <c r="K100" s="12"/>
      <c r="L100" s="12"/>
      <c r="M100" s="12"/>
      <c r="N100" s="12"/>
      <c r="O100" s="12"/>
      <c r="P100" s="12"/>
      <c r="Q100" s="12"/>
      <c r="R100" s="12"/>
      <c r="S100" s="12"/>
      <c r="T100" s="12"/>
      <c r="U100" s="12"/>
      <c r="V100" s="12"/>
      <c r="W100" s="12"/>
      <c r="X100" s="12"/>
      <c r="Y100" s="12"/>
      <c r="Z100" s="12"/>
      <c r="AA100" s="12"/>
      <c r="AB100" s="12"/>
      <c r="AC100" s="12"/>
      <c r="AD100" s="12"/>
    </row>
    <row r="101" spans="1:30" ht="26.25" customHeight="1">
      <c r="A101" s="10">
        <v>2</v>
      </c>
      <c r="B101" s="11" t="s">
        <v>293</v>
      </c>
      <c r="C101" s="6"/>
      <c r="D101" s="11" t="str">
        <f ca="1">IFERROR(__xludf.DUMMYFUNCTION("GOOGLETRANSLATE($B101,(""auto""),(""es""))"),"Retire el portador trasero - B2")</f>
        <v>Retire el portador trasero - B2</v>
      </c>
      <c r="E101" s="11" t="str">
        <f ca="1">IFERROR(__xludf.DUMMYFUNCTION("GOOGLETRANSLATE($B101,(""auto""),(""FR""))"),"Retirer le support arrière - B2")</f>
        <v>Retirer le support arrière - B2</v>
      </c>
      <c r="F101" s="11" t="str">
        <f ca="1">IFERROR(__xludf.DUMMYFUNCTION("GOOGLETRANSLATE($B101,(""auto""),(""IT""))"),"Rimuovere il vettore posteriore - B2")</f>
        <v>Rimuovere il vettore posteriore - B2</v>
      </c>
      <c r="G101" s="12"/>
      <c r="H101" s="12"/>
      <c r="I101" s="12"/>
      <c r="J101" s="12"/>
      <c r="K101" s="12"/>
      <c r="L101" s="12"/>
      <c r="M101" s="12"/>
      <c r="N101" s="12"/>
      <c r="O101" s="12"/>
      <c r="P101" s="12"/>
      <c r="Q101" s="12"/>
      <c r="R101" s="12"/>
      <c r="S101" s="12"/>
      <c r="T101" s="12"/>
      <c r="U101" s="12"/>
      <c r="V101" s="12"/>
      <c r="W101" s="12"/>
      <c r="X101" s="12"/>
      <c r="Y101" s="12"/>
      <c r="Z101" s="12"/>
      <c r="AA101" s="12"/>
      <c r="AB101" s="12"/>
      <c r="AC101" s="12"/>
      <c r="AD101" s="12"/>
    </row>
    <row r="102" spans="1:30" ht="26.25" customHeight="1">
      <c r="A102" s="10">
        <v>3</v>
      </c>
      <c r="B102" s="11" t="s">
        <v>294</v>
      </c>
      <c r="C102" s="6"/>
      <c r="D102" s="11" t="str">
        <f ca="1">IFERROR(__xludf.DUMMYFUNCTION("GOOGLETRANSLATE($B102,(""auto""),(""es""))"),"Retire la cubierta central trasera: B4")</f>
        <v>Retire la cubierta central trasera: B4</v>
      </c>
      <c r="E102" s="11" t="str">
        <f ca="1">IFERROR(__xludf.DUMMYFUNCTION("GOOGLETRANSLATE($B102,(""auto""),(""FR""))"),"Retirez le couvercle central arrière - B4")</f>
        <v>Retirez le couvercle central arrière - B4</v>
      </c>
      <c r="F102" s="11" t="str">
        <f ca="1">IFERROR(__xludf.DUMMYFUNCTION("GOOGLETRANSLATE($B102,(""auto""),(""IT""))"),"Rimuovere il coperchio centrale posteriore- B4")</f>
        <v>Rimuovere il coperchio centrale posteriore- B4</v>
      </c>
      <c r="G102" s="12"/>
      <c r="H102" s="12"/>
      <c r="I102" s="12"/>
      <c r="J102" s="12"/>
      <c r="K102" s="12"/>
      <c r="L102" s="12"/>
      <c r="M102" s="12"/>
      <c r="N102" s="12"/>
      <c r="O102" s="12"/>
      <c r="P102" s="12"/>
      <c r="Q102" s="12"/>
      <c r="R102" s="12"/>
      <c r="S102" s="12"/>
      <c r="T102" s="12"/>
      <c r="U102" s="12"/>
      <c r="V102" s="12"/>
      <c r="W102" s="12"/>
      <c r="X102" s="12"/>
      <c r="Y102" s="12"/>
      <c r="Z102" s="12"/>
      <c r="AA102" s="12"/>
      <c r="AB102" s="12"/>
      <c r="AC102" s="12"/>
      <c r="AD102" s="12"/>
    </row>
    <row r="103" spans="1:30">
      <c r="A103" s="69" t="s">
        <v>150</v>
      </c>
      <c r="B103" s="70" t="s">
        <v>151</v>
      </c>
      <c r="C103" s="70" t="s">
        <v>152</v>
      </c>
      <c r="D103" s="70" t="str">
        <f ca="1">IFERROR(__xludf.DUMMYFUNCTION("GOOGLETRANSLATE(B103,(""auto""),(""es""))"),"Descripción")</f>
        <v>Descripción</v>
      </c>
      <c r="E103" s="70" t="str">
        <f ca="1">IFERROR(__xludf.DUMMYFUNCTION("GOOGLETRANSLATE(B103,(""auto""),(""fr""))"),"Description")</f>
        <v>Description</v>
      </c>
      <c r="F103" s="70" t="str">
        <f ca="1">IFERROR(__xludf.DUMMYFUNCTION("GOOGLETRANSLATE(D103,(""auto""),(""IT""))"),"Descrizione")</f>
        <v>Descrizione</v>
      </c>
    </row>
    <row r="104" spans="1:30" ht="26.25" customHeight="1">
      <c r="A104" s="10">
        <v>1</v>
      </c>
      <c r="B104" s="11" t="s">
        <v>295</v>
      </c>
      <c r="C104" s="6"/>
      <c r="D104" s="11" t="str">
        <f ca="1">IFERROR(__xludf.DUMMYFUNCTION("GOOGLETRANSLATE($B104,(""auto""),(""es""))"),"Desenchufar los conectores de Winkers izquierdo y derecho")</f>
        <v>Desenchufar los conectores de Winkers izquierdo y derecho</v>
      </c>
      <c r="E104" s="11" t="str">
        <f ca="1">IFERROR(__xludf.DUMMYFUNCTION("GOOGLETRANSLATE($B104,(""auto""),(""FR""))"),"Débranchez les connecteurs de clinchoirs gauche et droit")</f>
        <v>Débranchez les connecteurs de clinchoirs gauche et droit</v>
      </c>
      <c r="F104" s="11" t="str">
        <f ca="1">IFERROR(__xludf.DUMMYFUNCTION("GOOGLETRANSLATE($B104,(""auto""),(""IT""))"),"Scollegare i connettori sinistro e destro")</f>
        <v>Scollegare i connettori sinistro e destro</v>
      </c>
      <c r="G104" s="12"/>
      <c r="H104" s="12"/>
      <c r="I104" s="12"/>
      <c r="J104" s="12"/>
      <c r="K104" s="12"/>
      <c r="L104" s="12"/>
      <c r="M104" s="12"/>
      <c r="N104" s="12"/>
      <c r="O104" s="12"/>
      <c r="P104" s="12"/>
      <c r="Q104" s="12"/>
      <c r="R104" s="12"/>
      <c r="S104" s="12"/>
      <c r="T104" s="12"/>
      <c r="U104" s="12"/>
      <c r="V104" s="12"/>
      <c r="W104" s="12"/>
      <c r="X104" s="12"/>
      <c r="Y104" s="12"/>
      <c r="Z104" s="12"/>
      <c r="AA104" s="12"/>
      <c r="AB104" s="12"/>
      <c r="AC104" s="12"/>
      <c r="AD104" s="12"/>
    </row>
    <row r="105" spans="1:30" ht="126.75" customHeight="1">
      <c r="A105" s="10">
        <v>2</v>
      </c>
      <c r="B105" s="11" t="s">
        <v>296</v>
      </c>
      <c r="C105" s="6"/>
      <c r="D105" s="11" t="str">
        <f ca="1">IFERROR(__xludf.DUMMYFUNCTION("GOOGLETRANSLATE($B105,(""auto""),(""es""))"),"Retire 4 tornillos en la foto derecha con un destornillador de Phillips.")</f>
        <v>Retire 4 tornillos en la foto derecha con un destornillador de Phillips.</v>
      </c>
      <c r="E105" s="11" t="str">
        <f ca="1">IFERROR(__xludf.DUMMYFUNCTION("GOOGLETRANSLATE($B105,(""auto""),(""FR""))"),"Retirez 4 vis sur la photo droite avec le tournevis Phillips.")</f>
        <v>Retirez 4 vis sur la photo droite avec le tournevis Phillips.</v>
      </c>
      <c r="F105" s="11" t="str">
        <f ca="1">IFERROR(__xludf.DUMMYFUNCTION("GOOGLETRANSLATE($B105,(""auto""),(""IT""))"),"Rimuovere 4 viti nella foto destra con cacciavite Phillips.")</f>
        <v>Rimuovere 4 viti nella foto destra con cacciavite Phillips.</v>
      </c>
      <c r="G105" s="12"/>
      <c r="H105" s="12"/>
      <c r="I105" s="12"/>
      <c r="J105" s="12"/>
      <c r="K105" s="12"/>
      <c r="L105" s="12"/>
      <c r="M105" s="12"/>
      <c r="N105" s="12"/>
      <c r="O105" s="12"/>
      <c r="P105" s="12"/>
      <c r="Q105" s="12"/>
      <c r="R105" s="12"/>
      <c r="S105" s="12"/>
      <c r="T105" s="12"/>
      <c r="U105" s="12"/>
      <c r="V105" s="12"/>
      <c r="W105" s="12"/>
      <c r="X105" s="12"/>
      <c r="Y105" s="12"/>
      <c r="Z105" s="12"/>
      <c r="AA105" s="12"/>
      <c r="AB105" s="12"/>
      <c r="AC105" s="12"/>
      <c r="AD105" s="12"/>
    </row>
    <row r="106" spans="1:30" ht="103.5" customHeight="1">
      <c r="A106" s="10">
        <v>3</v>
      </c>
      <c r="B106" s="11" t="s">
        <v>297</v>
      </c>
      <c r="C106" s="6"/>
      <c r="D106" s="11" t="str">
        <f ca="1">IFERROR(__xludf.DUMMYFUNCTION("GOOGLETRANSLATE($B106,(""auto""),(""es""))"),"Retire 8 tornillos en la foto derecha con un destornillador de Phillips y luego retire la cubierta inferior trasera")</f>
        <v>Retire 8 tornillos en la foto derecha con un destornillador de Phillips y luego retire la cubierta inferior trasera</v>
      </c>
      <c r="E106" s="11" t="str">
        <f ca="1">IFERROR(__xludf.DUMMYFUNCTION("GOOGLETRANSLATE($B106,(""auto""),(""FR""))"),"Retirer 8 vis sur la photo droite avec le tournevis Phillips, puis retirer le couvercle inférieur arrière")</f>
        <v>Retirer 8 vis sur la photo droite avec le tournevis Phillips, puis retirer le couvercle inférieur arrière</v>
      </c>
      <c r="F106" s="11" t="str">
        <f ca="1">IFERROR(__xludf.DUMMYFUNCTION("GOOGLETRANSLATE($B106,(""auto""),(""IT""))"),"Rimuovere 8 viti nella foto destra con cacciavite Phillips, quindi rimuovere il coperchio inferiore posteriore")</f>
        <v>Rimuovere 8 viti nella foto destra con cacciavite Phillips, quindi rimuovere il coperchio inferiore posteriore</v>
      </c>
      <c r="G106" s="12"/>
      <c r="H106" s="12"/>
      <c r="I106" s="12"/>
      <c r="J106" s="12"/>
      <c r="K106" s="12"/>
      <c r="L106" s="12"/>
      <c r="M106" s="12"/>
      <c r="N106" s="12"/>
      <c r="O106" s="12"/>
      <c r="P106" s="12"/>
      <c r="Q106" s="12"/>
      <c r="R106" s="12"/>
      <c r="S106" s="12"/>
      <c r="T106" s="12"/>
      <c r="U106" s="12"/>
      <c r="V106" s="12"/>
      <c r="W106" s="12"/>
      <c r="X106" s="12"/>
      <c r="Y106" s="12"/>
      <c r="Z106" s="12"/>
      <c r="AA106" s="12"/>
      <c r="AB106" s="12"/>
      <c r="AC106" s="12"/>
      <c r="AD106" s="12"/>
    </row>
    <row r="107" spans="1:30" ht="26.25" customHeight="1">
      <c r="A107" s="73"/>
      <c r="B107" s="73" t="s">
        <v>298</v>
      </c>
      <c r="C107" s="73"/>
      <c r="D107" s="73" t="str">
        <f ca="1">IFERROR(__xludf.DUMMYFUNCTION("GOOGLETRANSLATE($B107,(""auto""),(""es""))"),"B17 - Cubierta inferior delantera")</f>
        <v>B17 - Cubierta inferior delantera</v>
      </c>
      <c r="E107" s="73" t="str">
        <f ca="1">IFERROR(__xludf.DUMMYFUNCTION("GOOGLETRANSLATE($B107,(""auto""),(""FR""))"),"B17 - COUVERTURE DE BOOD")</f>
        <v>B17 - COUVERTURE DE BOOD</v>
      </c>
      <c r="F107" s="73" t="str">
        <f ca="1">IFERROR(__xludf.DUMMYFUNCTION("GOOGLETRANSLATE($B107,(""auto""),(""IT""))"),"B17 - Copertura inferiore anteriore")</f>
        <v>B17 - Copertura inferiore anteriore</v>
      </c>
      <c r="G107" s="9"/>
      <c r="H107" s="9"/>
      <c r="I107" s="9"/>
      <c r="J107" s="9"/>
      <c r="K107" s="9"/>
      <c r="L107" s="9"/>
      <c r="M107" s="9"/>
      <c r="N107" s="9"/>
      <c r="O107" s="9"/>
      <c r="P107" s="9"/>
      <c r="Q107" s="9"/>
      <c r="R107" s="9"/>
      <c r="S107" s="9"/>
      <c r="T107" s="9"/>
      <c r="U107" s="9"/>
      <c r="V107" s="9"/>
      <c r="W107" s="9"/>
      <c r="X107" s="9"/>
      <c r="Y107" s="9"/>
      <c r="Z107" s="9"/>
      <c r="AA107" s="9"/>
      <c r="AB107" s="9"/>
      <c r="AC107" s="9"/>
      <c r="AD107" s="9"/>
    </row>
    <row r="108" spans="1:30">
      <c r="A108" s="69" t="s">
        <v>145</v>
      </c>
      <c r="B108" s="70" t="s">
        <v>146</v>
      </c>
      <c r="C108" s="70" t="s">
        <v>147</v>
      </c>
      <c r="D108" s="70" t="str">
        <f ca="1">IFERROR(__xludf.DUMMYFUNCTION("GOOGLETRANSLATE(B108,(""auto""),(""es""))"),"Preparación:")</f>
        <v>Preparación:</v>
      </c>
      <c r="E108" s="70" t="str">
        <f ca="1">IFERROR(__xludf.DUMMYFUNCTION("GOOGLETRANSLATE(B108,(""auto""),(""fr""))"),"Préparation:")</f>
        <v>Préparation:</v>
      </c>
      <c r="F108" s="70" t="str">
        <f ca="1">IFERROR(__xludf.DUMMYFUNCTION("GOOGLETRANSLATE(D108,(""auto""),(""IT""))"),"Preparazione:")</f>
        <v>Preparazione:</v>
      </c>
    </row>
    <row r="109" spans="1:30" ht="26.25" customHeight="1">
      <c r="A109" s="10">
        <v>1</v>
      </c>
      <c r="B109" s="11" t="s">
        <v>299</v>
      </c>
      <c r="C109" s="6"/>
      <c r="D109" s="11" t="str">
        <f ca="1">IFERROR(__xludf.DUMMYFUNCTION("GOOGLETRANSLATE($B109,(""auto""),(""es""))"),"Retire la canasta delantera - B0")</f>
        <v>Retire la canasta delantera - B0</v>
      </c>
      <c r="E109" s="11" t="str">
        <f ca="1">IFERROR(__xludf.DUMMYFUNCTION("GOOGLETRANSLATE($B109,(""auto""),(""FR""))"),"Retirer le panier avant - B0")</f>
        <v>Retirer le panier avant - B0</v>
      </c>
      <c r="F109" s="11" t="str">
        <f ca="1">IFERROR(__xludf.DUMMYFUNCTION("GOOGLETRANSLATE($B109,(""auto""),(""IT""))"),"Rimuovere il cestino anteriore - B0")</f>
        <v>Rimuovere il cestino anteriore - B0</v>
      </c>
      <c r="G109" s="12"/>
      <c r="H109" s="12"/>
      <c r="I109" s="12"/>
      <c r="J109" s="12"/>
      <c r="K109" s="12"/>
      <c r="L109" s="12"/>
      <c r="M109" s="12"/>
      <c r="N109" s="12"/>
      <c r="O109" s="12"/>
      <c r="P109" s="12"/>
      <c r="Q109" s="12"/>
      <c r="R109" s="12"/>
      <c r="S109" s="12"/>
      <c r="T109" s="12"/>
      <c r="U109" s="12"/>
      <c r="V109" s="12"/>
      <c r="W109" s="12"/>
      <c r="X109" s="12"/>
      <c r="Y109" s="12"/>
      <c r="Z109" s="12"/>
      <c r="AA109" s="12"/>
      <c r="AB109" s="12"/>
      <c r="AC109" s="12"/>
      <c r="AD109" s="12"/>
    </row>
    <row r="110" spans="1:30" ht="26.25" customHeight="1">
      <c r="A110" s="10">
        <v>2</v>
      </c>
      <c r="B110" s="11" t="s">
        <v>300</v>
      </c>
      <c r="C110" s="6"/>
      <c r="D110" s="11" t="str">
        <f ca="1">IFERROR(__xludf.DUMMYFUNCTION("GOOGLETRANSLATE($B110,(""auto""),(""es""))"),"Retire la cubierta frontal - B1")</f>
        <v>Retire la cubierta frontal - B1</v>
      </c>
      <c r="E110" s="11" t="str">
        <f ca="1">IFERROR(__xludf.DUMMYFUNCTION("GOOGLETRANSLATE($B110,(""auto""),(""FR""))"),"Retirer le couvercle avant - B1")</f>
        <v>Retirer le couvercle avant - B1</v>
      </c>
      <c r="F110" s="11" t="str">
        <f ca="1">IFERROR(__xludf.DUMMYFUNCTION("GOOGLETRANSLATE($B110,(""auto""),(""IT""))"),"Rimuovere il coperchio anteriore - B1")</f>
        <v>Rimuovere il coperchio anteriore - B1</v>
      </c>
      <c r="G110" s="12"/>
      <c r="H110" s="12"/>
      <c r="I110" s="12"/>
      <c r="J110" s="12"/>
      <c r="K110" s="12"/>
      <c r="L110" s="12"/>
      <c r="M110" s="12"/>
      <c r="N110" s="12"/>
      <c r="O110" s="12"/>
      <c r="P110" s="12"/>
      <c r="Q110" s="12"/>
      <c r="R110" s="12"/>
      <c r="S110" s="12"/>
      <c r="T110" s="12"/>
      <c r="U110" s="12"/>
      <c r="V110" s="12"/>
      <c r="W110" s="12"/>
      <c r="X110" s="12"/>
      <c r="Y110" s="12"/>
      <c r="Z110" s="12"/>
      <c r="AA110" s="12"/>
      <c r="AB110" s="12"/>
      <c r="AC110" s="12"/>
      <c r="AD110" s="12"/>
    </row>
    <row r="111" spans="1:30" ht="26.25" customHeight="1">
      <c r="A111" s="10">
        <v>3</v>
      </c>
      <c r="B111" s="11" t="s">
        <v>301</v>
      </c>
      <c r="C111" s="6"/>
      <c r="D111" s="11" t="str">
        <f ca="1">IFERROR(__xludf.DUMMYFUNCTION("GOOGLETRANSLATE($B111,(""auto""),(""es""))"),"Retire el protector delantero delantero derecho e izquierdo - B5")</f>
        <v>Retire el protector delantero delantero derecho e izquierdo - B5</v>
      </c>
      <c r="E111" s="11" t="str">
        <f ca="1">IFERROR(__xludf.DUMMYFUNCTION("GOOGLETRANSLATE($B111,(""auto""),(""FR""))"),"Retirer le bouclier côté avant droit et gauche - B5")</f>
        <v>Retirer le bouclier côté avant droit et gauche - B5</v>
      </c>
      <c r="F111" s="11" t="str">
        <f ca="1">IFERROR(__xludf.DUMMYFUNCTION("GOOGLETRANSLATE($B111,(""auto""),(""IT""))"),"Rimuovere lo scudo lato anteriore destro e sinistro - B5")</f>
        <v>Rimuovere lo scudo lato anteriore destro e sinistro - B5</v>
      </c>
      <c r="G111" s="12"/>
      <c r="H111" s="12"/>
      <c r="I111" s="12"/>
      <c r="J111" s="12"/>
      <c r="K111" s="12"/>
      <c r="L111" s="12"/>
      <c r="M111" s="12"/>
      <c r="N111" s="12"/>
      <c r="O111" s="12"/>
      <c r="P111" s="12"/>
      <c r="Q111" s="12"/>
      <c r="R111" s="12"/>
      <c r="S111" s="12"/>
      <c r="T111" s="12"/>
      <c r="U111" s="12"/>
      <c r="V111" s="12"/>
      <c r="W111" s="12"/>
      <c r="X111" s="12"/>
      <c r="Y111" s="12"/>
      <c r="Z111" s="12"/>
      <c r="AA111" s="12"/>
      <c r="AB111" s="12"/>
      <c r="AC111" s="12"/>
      <c r="AD111" s="12"/>
    </row>
    <row r="112" spans="1:30" ht="26.25" customHeight="1">
      <c r="A112" s="10">
        <v>4</v>
      </c>
      <c r="B112" s="11" t="s">
        <v>302</v>
      </c>
      <c r="C112" s="6"/>
      <c r="D112" s="11" t="str">
        <f ca="1">IFERROR(__xludf.DUMMYFUNCTION("GOOGLETRANSLATE($B112,(""auto""),(""es""))"),"Retire el pedal - B7")</f>
        <v>Retire el pedal - B7</v>
      </c>
      <c r="E112" s="11" t="str">
        <f ca="1">IFERROR(__xludf.DUMMYFUNCTION("GOOGLETRANSLATE($B112,(""auto""),(""FR""))"),"Retirer la pédale - B7")</f>
        <v>Retirer la pédale - B7</v>
      </c>
      <c r="F112" s="11" t="str">
        <f ca="1">IFERROR(__xludf.DUMMYFUNCTION("GOOGLETRANSLATE($B112,(""auto""),(""IT""))"),"Rimuovi il pedale - B7")</f>
        <v>Rimuovi il pedale - B7</v>
      </c>
      <c r="G112" s="12"/>
      <c r="H112" s="12"/>
      <c r="I112" s="12"/>
      <c r="J112" s="12"/>
      <c r="K112" s="12"/>
      <c r="L112" s="12"/>
      <c r="M112" s="12"/>
      <c r="N112" s="12"/>
      <c r="O112" s="12"/>
      <c r="P112" s="12"/>
      <c r="Q112" s="12"/>
      <c r="R112" s="12"/>
      <c r="S112" s="12"/>
      <c r="T112" s="12"/>
      <c r="U112" s="12"/>
      <c r="V112" s="12"/>
      <c r="W112" s="12"/>
      <c r="X112" s="12"/>
      <c r="Y112" s="12"/>
      <c r="Z112" s="12"/>
      <c r="AA112" s="12"/>
      <c r="AB112" s="12"/>
      <c r="AC112" s="12"/>
      <c r="AD112" s="12"/>
    </row>
    <row r="113" spans="1:30" ht="26.25" customHeight="1">
      <c r="A113" s="10">
        <v>5</v>
      </c>
      <c r="B113" s="11" t="s">
        <v>303</v>
      </c>
      <c r="C113" s="6"/>
      <c r="D113" s="11" t="str">
        <f ca="1">IFERROR(__xludf.DUMMYFUNCTION("GOOGLETRANSLATE($B113,(""auto""),(""es""))"),"Retire (izquierda/derecha) Strip de cubierta - B8")</f>
        <v>Retire (izquierda/derecha) Strip de cubierta - B8</v>
      </c>
      <c r="E113" s="11" t="str">
        <f ca="1">IFERROR(__xludf.DUMMYFUNCTION("GOOGLETRANSLATE($B113,(""auto""),(""FR""))"),"Retirez (gauche / droite) bande de couverture - B8")</f>
        <v>Retirez (gauche / droite) bande de couverture - B8</v>
      </c>
      <c r="F113" s="11" t="str">
        <f ca="1">IFERROR(__xludf.DUMMYFUNCTION("GOOGLETRANSLATE($B113,(""auto""),(""IT""))"),"Rimuovere la striscia di copertura (sinistra/destra) - B8")</f>
        <v>Rimuovere la striscia di copertura (sinistra/destra) - B8</v>
      </c>
      <c r="G113" s="12"/>
      <c r="H113" s="12"/>
      <c r="I113" s="12"/>
      <c r="J113" s="12"/>
      <c r="K113" s="12"/>
      <c r="L113" s="12"/>
      <c r="M113" s="12"/>
      <c r="N113" s="12"/>
      <c r="O113" s="12"/>
      <c r="P113" s="12"/>
      <c r="Q113" s="12"/>
      <c r="R113" s="12"/>
      <c r="S113" s="12"/>
      <c r="T113" s="12"/>
      <c r="U113" s="12"/>
      <c r="V113" s="12"/>
      <c r="W113" s="12"/>
      <c r="X113" s="12"/>
      <c r="Y113" s="12"/>
      <c r="Z113" s="12"/>
      <c r="AA113" s="12"/>
      <c r="AB113" s="12"/>
      <c r="AC113" s="12"/>
      <c r="AD113" s="12"/>
    </row>
    <row r="114" spans="1:30" ht="26.25" customHeight="1">
      <c r="A114" s="10">
        <v>6</v>
      </c>
      <c r="B114" s="11" t="s">
        <v>304</v>
      </c>
      <c r="C114" s="6"/>
      <c r="D114" s="11" t="str">
        <f ca="1">IFERROR(__xludf.DUMMYFUNCTION("GOOGLETRANSLATE($B114,(""auto""),(""es""))"),"Retirar el gancho - B9")</f>
        <v>Retirar el gancho - B9</v>
      </c>
      <c r="E114" s="11" t="str">
        <f ca="1">IFERROR(__xludf.DUMMYFUNCTION("GOOGLETRANSLATE($B114,(""auto""),(""FR""))"),"Retirer le crochet - B9")</f>
        <v>Retirer le crochet - B9</v>
      </c>
      <c r="F114" s="11" t="str">
        <f ca="1">IFERROR(__xludf.DUMMYFUNCTION("GOOGLETRANSLATE($B114,(""auto""),(""IT""))"),"Rimuovi il gancio - B9")</f>
        <v>Rimuovi il gancio - B9</v>
      </c>
      <c r="G114" s="12"/>
      <c r="H114" s="12"/>
      <c r="I114" s="12"/>
      <c r="J114" s="12"/>
      <c r="K114" s="12"/>
      <c r="L114" s="12"/>
      <c r="M114" s="12"/>
      <c r="N114" s="12"/>
      <c r="O114" s="12"/>
      <c r="P114" s="12"/>
      <c r="Q114" s="12"/>
      <c r="R114" s="12"/>
      <c r="S114" s="12"/>
      <c r="T114" s="12"/>
      <c r="U114" s="12"/>
      <c r="V114" s="12"/>
      <c r="W114" s="12"/>
      <c r="X114" s="12"/>
      <c r="Y114" s="12"/>
      <c r="Z114" s="12"/>
      <c r="AA114" s="12"/>
      <c r="AB114" s="12"/>
      <c r="AC114" s="12"/>
      <c r="AD114" s="12"/>
    </row>
    <row r="115" spans="1:30" ht="26.25" customHeight="1">
      <c r="A115" s="10">
        <v>7</v>
      </c>
      <c r="B115" s="11" t="s">
        <v>273</v>
      </c>
      <c r="C115" s="6"/>
      <c r="D115" s="11" t="str">
        <f ca="1">IFERROR(__xludf.DUMMYFUNCTION("GOOGLETRANSLATE($B115,(""auto""),(""es""))"),"Retire la cubierta de bloqueo de energía - B10")</f>
        <v>Retire la cubierta de bloqueo de energía - B10</v>
      </c>
      <c r="E115" s="11" t="str">
        <f ca="1">IFERROR(__xludf.DUMMYFUNCTION("GOOGLETRANSLATE($B115,(""auto""),(""FR""))"),"Retirez le couvercle de verrouillage d'alimentation - B10")</f>
        <v>Retirez le couvercle de verrouillage d'alimentation - B10</v>
      </c>
      <c r="F115" s="11" t="str">
        <f ca="1">IFERROR(__xludf.DUMMYFUNCTION("GOOGLETRANSLATE($B115,(""auto""),(""IT""))"),"Rimuovere il coperchio del blocco di alimentazione - B10")</f>
        <v>Rimuovere il coperchio del blocco di alimentazione - B10</v>
      </c>
      <c r="G115" s="12"/>
      <c r="H115" s="12"/>
      <c r="I115" s="12"/>
      <c r="J115" s="12"/>
      <c r="K115" s="12"/>
      <c r="L115" s="12"/>
      <c r="M115" s="12"/>
      <c r="N115" s="12"/>
      <c r="O115" s="12"/>
      <c r="P115" s="12"/>
      <c r="Q115" s="12"/>
      <c r="R115" s="12"/>
      <c r="S115" s="12"/>
      <c r="T115" s="12"/>
      <c r="U115" s="12"/>
      <c r="V115" s="12"/>
      <c r="W115" s="12"/>
      <c r="X115" s="12"/>
      <c r="Y115" s="12"/>
      <c r="Z115" s="12"/>
      <c r="AA115" s="12"/>
      <c r="AB115" s="12"/>
      <c r="AC115" s="12"/>
      <c r="AD115" s="12"/>
    </row>
    <row r="116" spans="1:30" ht="26.25" customHeight="1">
      <c r="A116" s="10">
        <v>8</v>
      </c>
      <c r="B116" s="11" t="s">
        <v>305</v>
      </c>
      <c r="C116" s="6"/>
      <c r="D116" s="11" t="str">
        <f ca="1">IFERROR(__xludf.DUMMYFUNCTION("GOOGLETRANSLATE($B116,(""auto""),(""es""))"),"Retire la cubierta de la viga principal - B11")</f>
        <v>Retire la cubierta de la viga principal - B11</v>
      </c>
      <c r="E116" s="11" t="str">
        <f ca="1">IFERROR(__xludf.DUMMYFUNCTION("GOOGLETRANSLATE($B116,(""auto""),(""FR""))"),"Retirer le couvercle de la poutre principale - B11")</f>
        <v>Retirer le couvercle de la poutre principale - B11</v>
      </c>
      <c r="F116" s="11" t="str">
        <f ca="1">IFERROR(__xludf.DUMMYFUNCTION("GOOGLETRANSLATE($B116,(""auto""),(""IT""))"),"Rimuovi il coperchio delle trave principali - B11")</f>
        <v>Rimuovi il coperchio delle trave principali - B11</v>
      </c>
      <c r="G116" s="12"/>
      <c r="H116" s="12"/>
      <c r="I116" s="12"/>
      <c r="J116" s="12"/>
      <c r="K116" s="12"/>
      <c r="L116" s="12"/>
      <c r="M116" s="12"/>
      <c r="N116" s="12"/>
      <c r="O116" s="12"/>
      <c r="P116" s="12"/>
      <c r="Q116" s="12"/>
      <c r="R116" s="12"/>
      <c r="S116" s="12"/>
      <c r="T116" s="12"/>
      <c r="U116" s="12"/>
      <c r="V116" s="12"/>
      <c r="W116" s="12"/>
      <c r="X116" s="12"/>
      <c r="Y116" s="12"/>
      <c r="Z116" s="12"/>
      <c r="AA116" s="12"/>
      <c r="AB116" s="12"/>
      <c r="AC116" s="12"/>
      <c r="AD116" s="12"/>
    </row>
    <row r="117" spans="1:30" ht="26.25" customHeight="1">
      <c r="A117" s="10">
        <v>9</v>
      </c>
      <c r="B117" s="11" t="s">
        <v>306</v>
      </c>
      <c r="C117" s="6"/>
      <c r="D117" s="11" t="str">
        <f ca="1">IFERROR(__xludf.DUMMYFUNCTION("GOOGLETRANSLATE($B117,(""auto""),(""es""))"),"Cubierta de retroceso de RR del faro - B14")</f>
        <v>Cubierta de retroceso de RR del faro - B14</v>
      </c>
      <c r="E117" s="11" t="str">
        <f ca="1">IFERROR(__xludf.DUMMYFUNCTION("GOOGLETRANSLATE($B117,(""auto""),(""FR""))"),"Couverture RR RR du phare - B14")</f>
        <v>Couverture RR RR du phare - B14</v>
      </c>
      <c r="F117" s="11" t="str">
        <f ca="1">IFERROR(__xludf.DUMMYFUNCTION("GOOGLETRANSLATE($B117,(""auto""),(""IT""))"),"Remover RR Cover del faro - B14")</f>
        <v>Remover RR Cover del faro - B14</v>
      </c>
      <c r="G117" s="12"/>
      <c r="H117" s="12"/>
      <c r="I117" s="12"/>
      <c r="J117" s="12"/>
      <c r="K117" s="12"/>
      <c r="L117" s="12"/>
      <c r="M117" s="12"/>
      <c r="N117" s="12"/>
      <c r="O117" s="12"/>
      <c r="P117" s="12"/>
      <c r="Q117" s="12"/>
      <c r="R117" s="12"/>
      <c r="S117" s="12"/>
      <c r="T117" s="12"/>
      <c r="U117" s="12"/>
      <c r="V117" s="12"/>
      <c r="W117" s="12"/>
      <c r="X117" s="12"/>
      <c r="Y117" s="12"/>
      <c r="Z117" s="12"/>
      <c r="AA117" s="12"/>
      <c r="AB117" s="12"/>
      <c r="AC117" s="12"/>
      <c r="AD117" s="12"/>
    </row>
    <row r="118" spans="1:30">
      <c r="A118" s="69" t="s">
        <v>150</v>
      </c>
      <c r="B118" s="70" t="s">
        <v>151</v>
      </c>
      <c r="C118" s="70" t="s">
        <v>152</v>
      </c>
      <c r="D118" s="70" t="str">
        <f ca="1">IFERROR(__xludf.DUMMYFUNCTION("GOOGLETRANSLATE(B118,(""auto""),(""es""))"),"Descripción")</f>
        <v>Descripción</v>
      </c>
      <c r="E118" s="70" t="str">
        <f ca="1">IFERROR(__xludf.DUMMYFUNCTION("GOOGLETRANSLATE(B118,(""auto""),(""fr""))"),"Description")</f>
        <v>Description</v>
      </c>
      <c r="F118" s="70" t="str">
        <f ca="1">IFERROR(__xludf.DUMMYFUNCTION("GOOGLETRANSLATE(D118,(""auto""),(""IT""))"),"Descrizione")</f>
        <v>Descrizione</v>
      </c>
    </row>
    <row r="119" spans="1:30" ht="74.25" customHeight="1">
      <c r="A119" s="10">
        <v>1</v>
      </c>
      <c r="B119" s="11" t="s">
        <v>307</v>
      </c>
      <c r="C119" s="6"/>
      <c r="D119" s="11" t="str">
        <f ca="1">IFERROR(__xludf.DUMMYFUNCTION("GOOGLETRANSLATE($B119,(""auto""),(""es""))"),"Retire un perno del círculo rojo con una manga de clavos de 10 mm")</f>
        <v>Retire un perno del círculo rojo con una manga de clavos de 10 mm</v>
      </c>
      <c r="E119" s="11" t="str">
        <f ca="1">IFERROR(__xludf.DUMMYFUNCTION("GOOGLETRANSLATE($B119,(""auto""),(""FR""))"),"Retirez un boulon du cercle rouge avec un manchon à ongles de 10 mm")</f>
        <v>Retirez un boulon du cercle rouge avec un manchon à ongles de 10 mm</v>
      </c>
      <c r="F119" s="11" t="str">
        <f ca="1">IFERROR(__xludf.DUMMYFUNCTION("GOOGLETRANSLATE($B119,(""auto""),(""IT""))"),"Rimuovere un bullone dal cerchio rosso con una manica unghie da 10 mm")</f>
        <v>Rimuovere un bullone dal cerchio rosso con una manica unghie da 10 mm</v>
      </c>
      <c r="G119" s="12"/>
      <c r="H119" s="12"/>
      <c r="I119" s="12"/>
      <c r="J119" s="12"/>
      <c r="K119" s="12"/>
      <c r="L119" s="12"/>
      <c r="M119" s="12"/>
      <c r="N119" s="12"/>
      <c r="O119" s="12"/>
      <c r="P119" s="12"/>
      <c r="Q119" s="12"/>
      <c r="R119" s="12"/>
      <c r="S119" s="12"/>
      <c r="T119" s="12"/>
      <c r="U119" s="12"/>
      <c r="V119" s="12"/>
      <c r="W119" s="12"/>
      <c r="X119" s="12"/>
      <c r="Y119" s="12"/>
      <c r="Z119" s="12"/>
      <c r="AA119" s="12"/>
      <c r="AB119" s="12"/>
      <c r="AC119" s="12"/>
      <c r="AD119" s="12"/>
    </row>
    <row r="120" spans="1:30" ht="91.5" customHeight="1">
      <c r="A120" s="10">
        <v>2</v>
      </c>
      <c r="B120" s="11" t="s">
        <v>308</v>
      </c>
      <c r="C120" s="6"/>
      <c r="D120" s="11" t="str">
        <f ca="1">IFERROR(__xludf.DUMMYFUNCTION("GOOGLETRANSLATE($B120,(""auto""),(""es""))"),"Retire los 4 pernos en el círculo rojo con una manga de clavos de 10 mm y retire la cubierta inferior delantera")</f>
        <v>Retire los 4 pernos en el círculo rojo con una manga de clavos de 10 mm y retire la cubierta inferior delantera</v>
      </c>
      <c r="E120" s="11" t="str">
        <f ca="1">IFERROR(__xludf.DUMMYFUNCTION("GOOGLETRANSLATE($B120,(""auto""),(""FR""))"),"Retirez les 4 boulons dans le cercle rouge avec un manchon à ongles de 10 mm et retirez le couvercle inférieur avant")</f>
        <v>Retirez les 4 boulons dans le cercle rouge avec un manchon à ongles de 10 mm et retirez le couvercle inférieur avant</v>
      </c>
      <c r="F120" s="11" t="str">
        <f ca="1">IFERROR(__xludf.DUMMYFUNCTION("GOOGLETRANSLATE($B120,(""auto""),(""IT""))"),"Rimuovere i 4 bulloni nel cerchio rosso con una manica unghie da 10 mm e rimuovere il coperchio inferiore anteriore")</f>
        <v>Rimuovere i 4 bulloni nel cerchio rosso con una manica unghie da 10 mm e rimuovere il coperchio inferiore anteriore</v>
      </c>
      <c r="G120" s="12"/>
      <c r="H120" s="12"/>
      <c r="I120" s="12"/>
      <c r="J120" s="12"/>
      <c r="K120" s="12"/>
      <c r="L120" s="12"/>
      <c r="M120" s="12"/>
      <c r="N120" s="12"/>
      <c r="O120" s="12"/>
      <c r="P120" s="12"/>
      <c r="Q120" s="12"/>
      <c r="R120" s="12"/>
      <c r="S120" s="12"/>
      <c r="T120" s="12"/>
      <c r="U120" s="12"/>
      <c r="V120" s="12"/>
      <c r="W120" s="12"/>
      <c r="X120" s="12"/>
      <c r="Y120" s="12"/>
      <c r="Z120" s="12"/>
      <c r="AA120" s="12"/>
      <c r="AB120" s="12"/>
      <c r="AC120" s="12"/>
      <c r="AD120" s="12"/>
    </row>
    <row r="121" spans="1:30" ht="26.25" customHeight="1">
      <c r="A121" s="73"/>
      <c r="B121" s="73" t="s">
        <v>309</v>
      </c>
      <c r="C121" s="73"/>
      <c r="D121" s="73" t="str">
        <f ca="1">IFERROR(__xludf.DUMMYFUNCTION("GOOGLETRANSLATE($B121,(""auto""),(""es""))"),"B18 - La cubierta inferior")</f>
        <v>B18 - La cubierta inferior</v>
      </c>
      <c r="E121" s="73" t="str">
        <f ca="1">IFERROR(__xludf.DUMMYFUNCTION("GOOGLETRANSLATE($B121,(""auto""),(""FR""))"),"B18 - le couvercle inférieur")</f>
        <v>B18 - le couvercle inférieur</v>
      </c>
      <c r="F121" s="73" t="str">
        <f ca="1">IFERROR(__xludf.DUMMYFUNCTION("GOOGLETRANSLATE($B121,(""auto""),(""IT""))"),"B18 - La copertura inferiore")</f>
        <v>B18 - La copertura inferiore</v>
      </c>
      <c r="G121" s="9"/>
      <c r="H121" s="9"/>
      <c r="I121" s="9"/>
      <c r="J121" s="9"/>
      <c r="K121" s="9"/>
      <c r="L121" s="9"/>
      <c r="M121" s="9"/>
      <c r="N121" s="9"/>
      <c r="O121" s="9"/>
      <c r="P121" s="9"/>
      <c r="Q121" s="9"/>
      <c r="R121" s="9"/>
      <c r="S121" s="9"/>
      <c r="T121" s="9"/>
      <c r="U121" s="9"/>
      <c r="V121" s="9"/>
      <c r="W121" s="9"/>
      <c r="X121" s="9"/>
      <c r="Y121" s="9"/>
      <c r="Z121" s="9"/>
      <c r="AA121" s="9"/>
      <c r="AB121" s="9"/>
      <c r="AC121" s="9"/>
      <c r="AD121" s="9"/>
    </row>
    <row r="122" spans="1:30">
      <c r="A122" s="69" t="s">
        <v>145</v>
      </c>
      <c r="B122" s="70" t="s">
        <v>146</v>
      </c>
      <c r="C122" s="70" t="s">
        <v>147</v>
      </c>
      <c r="D122" s="70" t="str">
        <f ca="1">IFERROR(__xludf.DUMMYFUNCTION("GOOGLETRANSLATE(B122,(""auto""),(""es""))"),"Preparación:")</f>
        <v>Preparación:</v>
      </c>
      <c r="E122" s="70" t="str">
        <f ca="1">IFERROR(__xludf.DUMMYFUNCTION("GOOGLETRANSLATE(B122,(""auto""),(""fr""))"),"Préparation:")</f>
        <v>Préparation:</v>
      </c>
      <c r="F122" s="70" t="str">
        <f ca="1">IFERROR(__xludf.DUMMYFUNCTION("GOOGLETRANSLATE(D122,(""auto""),(""IT""))"),"Preparazione:")</f>
        <v>Preparazione:</v>
      </c>
    </row>
    <row r="123" spans="1:30">
      <c r="A123" s="10">
        <v>1</v>
      </c>
      <c r="B123" s="11" t="s">
        <v>156</v>
      </c>
      <c r="C123" s="6"/>
      <c r="D123" s="11" t="str">
        <f ca="1">IFERROR(__xludf.DUMMYFUNCTION("GOOGLETRANSLATE($B123,(""auto""),(""es""))"),"Retire la canasta delantera - B0")</f>
        <v>Retire la canasta delantera - B0</v>
      </c>
      <c r="E123" s="11" t="str">
        <f ca="1">IFERROR(__xludf.DUMMYFUNCTION("GOOGLETRANSLATE($B123,(""auto""),(""FR""))"),"Retirez le panier avant - B0")</f>
        <v>Retirez le panier avant - B0</v>
      </c>
      <c r="F123" s="11" t="str">
        <f ca="1">IFERROR(__xludf.DUMMYFUNCTION("GOOGLETRANSLATE($B123,(""auto""),(""IT""))"),"Rimuovere il cestino anteriore - B0")</f>
        <v>Rimuovere il cestino anteriore - B0</v>
      </c>
      <c r="G123" s="12"/>
      <c r="H123" s="12"/>
      <c r="I123" s="12"/>
      <c r="J123" s="12"/>
      <c r="K123" s="12"/>
      <c r="L123" s="12"/>
      <c r="M123" s="12"/>
      <c r="N123" s="12"/>
      <c r="O123" s="12"/>
      <c r="P123" s="12"/>
      <c r="Q123" s="12"/>
      <c r="R123" s="12"/>
      <c r="S123" s="12"/>
      <c r="T123" s="12"/>
      <c r="U123" s="12"/>
      <c r="V123" s="12"/>
      <c r="W123" s="12"/>
      <c r="X123" s="12"/>
      <c r="Y123" s="12"/>
      <c r="Z123" s="12"/>
      <c r="AA123" s="12"/>
      <c r="AB123" s="12"/>
      <c r="AC123" s="12"/>
      <c r="AD123" s="12"/>
    </row>
    <row r="124" spans="1:30">
      <c r="A124" s="10">
        <v>2</v>
      </c>
      <c r="B124" s="11" t="s">
        <v>149</v>
      </c>
      <c r="C124" s="6"/>
      <c r="D124" s="11" t="str">
        <f ca="1">IFERROR(__xludf.DUMMYFUNCTION("GOOGLETRANSLATE($B124,(""auto""),(""es""))"),"Retire la cubierta frontal - B1")</f>
        <v>Retire la cubierta frontal - B1</v>
      </c>
      <c r="E124" s="11" t="str">
        <f ca="1">IFERROR(__xludf.DUMMYFUNCTION("GOOGLETRANSLATE($B124,(""auto""),(""FR""))"),"Retirez le couvercle avant - B1")</f>
        <v>Retirez le couvercle avant - B1</v>
      </c>
      <c r="F124" s="11" t="str">
        <f ca="1">IFERROR(__xludf.DUMMYFUNCTION("GOOGLETRANSLATE($B124,(""auto""),(""IT""))"),"Rimuovere il coperchio anteriore - B1")</f>
        <v>Rimuovere il coperchio anteriore - B1</v>
      </c>
      <c r="G124" s="12"/>
      <c r="H124" s="12"/>
      <c r="I124" s="12"/>
      <c r="J124" s="12"/>
      <c r="K124" s="12"/>
      <c r="L124" s="12"/>
      <c r="M124" s="12"/>
      <c r="N124" s="12"/>
      <c r="O124" s="12"/>
      <c r="P124" s="12"/>
      <c r="Q124" s="12"/>
      <c r="R124" s="12"/>
      <c r="S124" s="12"/>
      <c r="T124" s="12"/>
      <c r="U124" s="12"/>
      <c r="V124" s="12"/>
      <c r="W124" s="12"/>
      <c r="X124" s="12"/>
      <c r="Y124" s="12"/>
      <c r="Z124" s="12"/>
      <c r="AA124" s="12"/>
      <c r="AB124" s="12"/>
      <c r="AC124" s="12"/>
      <c r="AD124" s="12"/>
    </row>
    <row r="125" spans="1:30">
      <c r="A125" s="10">
        <v>3</v>
      </c>
      <c r="B125" s="11" t="s">
        <v>310</v>
      </c>
      <c r="C125" s="6"/>
      <c r="D125" s="11" t="str">
        <f ca="1">IFERROR(__xludf.DUMMYFUNCTION("GOOGLETRANSLATE($B125,(""auto""),(""es""))"),"Retire los escudos laterales frontales izquierdo y derecho - B5")</f>
        <v>Retire los escudos laterales frontales izquierdo y derecho - B5</v>
      </c>
      <c r="E125" s="11" t="str">
        <f ca="1">IFERROR(__xludf.DUMMYFUNCTION("GOOGLETRANSLATE($B125,(""auto""),(""FR""))"),"Retirez les boucliers côté gauche et droite - B5")</f>
        <v>Retirez les boucliers côté gauche et droite - B5</v>
      </c>
      <c r="F125" s="11" t="str">
        <f ca="1">IFERROR(__xludf.DUMMYFUNCTION("GOOGLETRANSLATE($B125,(""auto""),(""IT""))"),"Rimuovere gli scudi del lato anteriore sinistro e destro - B5")</f>
        <v>Rimuovere gli scudi del lato anteriore sinistro e destro - B5</v>
      </c>
      <c r="G125" s="12"/>
      <c r="H125" s="12"/>
      <c r="I125" s="12"/>
      <c r="J125" s="12"/>
      <c r="K125" s="12"/>
      <c r="L125" s="12"/>
      <c r="M125" s="12"/>
      <c r="N125" s="12"/>
      <c r="O125" s="12"/>
      <c r="P125" s="12"/>
      <c r="Q125" s="12"/>
      <c r="R125" s="12"/>
      <c r="S125" s="12"/>
      <c r="T125" s="12"/>
      <c r="U125" s="12"/>
      <c r="V125" s="12"/>
      <c r="W125" s="12"/>
      <c r="X125" s="12"/>
      <c r="Y125" s="12"/>
      <c r="Z125" s="12"/>
      <c r="AA125" s="12"/>
      <c r="AB125" s="12"/>
      <c r="AC125" s="12"/>
      <c r="AD125" s="12"/>
    </row>
    <row r="126" spans="1:30">
      <c r="A126" s="10">
        <v>4</v>
      </c>
      <c r="B126" s="11" t="s">
        <v>229</v>
      </c>
      <c r="C126" s="6"/>
      <c r="D126" s="11" t="str">
        <f ca="1">IFERROR(__xludf.DUMMYFUNCTION("GOOGLETRANSLATE($B126,(""auto""),(""es""))"),"Quítate el pedal - B7")</f>
        <v>Quítate el pedal - B7</v>
      </c>
      <c r="E126" s="11" t="str">
        <f ca="1">IFERROR(__xludf.DUMMYFUNCTION("GOOGLETRANSLATE($B126,(""auto""),(""FR""))"),"Enlever la pédale - B7")</f>
        <v>Enlever la pédale - B7</v>
      </c>
      <c r="F126" s="11" t="str">
        <f ca="1">IFERROR(__xludf.DUMMYFUNCTION("GOOGLETRANSLATE($B126,(""auto""),(""IT""))"),"Togli il pedale - B7")</f>
        <v>Togli il pedale - B7</v>
      </c>
      <c r="G126" s="12"/>
      <c r="H126" s="12"/>
      <c r="I126" s="12"/>
      <c r="J126" s="12"/>
      <c r="K126" s="12"/>
      <c r="L126" s="12"/>
      <c r="M126" s="12"/>
      <c r="N126" s="12"/>
      <c r="O126" s="12"/>
      <c r="P126" s="12"/>
      <c r="Q126" s="12"/>
      <c r="R126" s="12"/>
      <c r="S126" s="12"/>
      <c r="T126" s="12"/>
      <c r="U126" s="12"/>
      <c r="V126" s="12"/>
      <c r="W126" s="12"/>
      <c r="X126" s="12"/>
      <c r="Y126" s="12"/>
      <c r="Z126" s="12"/>
      <c r="AA126" s="12"/>
      <c r="AB126" s="12"/>
      <c r="AC126" s="12"/>
      <c r="AD126" s="12"/>
    </row>
    <row r="127" spans="1:30" ht="26.25" customHeight="1">
      <c r="A127" s="10">
        <v>5</v>
      </c>
      <c r="B127" s="11" t="s">
        <v>271</v>
      </c>
      <c r="C127" s="6"/>
      <c r="D127" s="11" t="str">
        <f ca="1">IFERROR(__xludf.DUMMYFUNCTION("GOOGLETRANSLATE($B127,(""auto""),(""es""))"),"Retire la tira de cubierta (izquierda/derecha) - B8")</f>
        <v>Retire la tira de cubierta (izquierda/derecha) - B8</v>
      </c>
      <c r="E127" s="11" t="str">
        <f ca="1">IFERROR(__xludf.DUMMYFUNCTION("GOOGLETRANSLATE($B127,(""auto""),(""FR""))"),"Retirez la bande de couverture (gauche / droite) - B8")</f>
        <v>Retirez la bande de couverture (gauche / droite) - B8</v>
      </c>
      <c r="F127" s="11" t="str">
        <f ca="1">IFERROR(__xludf.DUMMYFUNCTION("GOOGLETRANSLATE($B127,(""auto""),(""IT""))"),"Rimuovere la striscia di copertura (sinistra/destra) - B8")</f>
        <v>Rimuovere la striscia di copertura (sinistra/destra) - B8</v>
      </c>
      <c r="G127" s="12"/>
      <c r="H127" s="12"/>
      <c r="I127" s="12"/>
      <c r="J127" s="12"/>
      <c r="K127" s="12"/>
      <c r="L127" s="12"/>
      <c r="M127" s="12"/>
      <c r="N127" s="12"/>
      <c r="O127" s="12"/>
      <c r="P127" s="12"/>
      <c r="Q127" s="12"/>
      <c r="R127" s="12"/>
      <c r="S127" s="12"/>
      <c r="T127" s="12"/>
      <c r="U127" s="12"/>
      <c r="V127" s="12"/>
      <c r="W127" s="12"/>
      <c r="X127" s="12"/>
      <c r="Y127" s="12"/>
      <c r="Z127" s="12"/>
      <c r="AA127" s="12"/>
      <c r="AB127" s="12"/>
      <c r="AC127" s="12"/>
      <c r="AD127" s="12"/>
    </row>
    <row r="128" spans="1:30">
      <c r="A128" s="10">
        <v>6</v>
      </c>
      <c r="B128" s="11" t="s">
        <v>272</v>
      </c>
      <c r="C128" s="6"/>
      <c r="D128" s="11" t="str">
        <f ca="1">IFERROR(__xludf.DUMMYFUNCTION("GOOGLETRANSLATE($B128,(""auto""),(""es""))"),"Retire el gancho - B9")</f>
        <v>Retire el gancho - B9</v>
      </c>
      <c r="E128" s="11" t="str">
        <f ca="1">IFERROR(__xludf.DUMMYFUNCTION("GOOGLETRANSLATE($B128,(""auto""),(""FR""))"),"Retirez le crochet - B9")</f>
        <v>Retirez le crochet - B9</v>
      </c>
      <c r="F128" s="11" t="str">
        <f ca="1">IFERROR(__xludf.DUMMYFUNCTION("GOOGLETRANSLATE($B128,(""auto""),(""IT""))"),"Rimuovi il gancio - B9")</f>
        <v>Rimuovi il gancio - B9</v>
      </c>
      <c r="G128" s="12"/>
      <c r="H128" s="12"/>
      <c r="I128" s="12"/>
      <c r="J128" s="12"/>
      <c r="K128" s="12"/>
      <c r="L128" s="12"/>
      <c r="M128" s="12"/>
      <c r="N128" s="12"/>
      <c r="O128" s="12"/>
      <c r="P128" s="12"/>
      <c r="Q128" s="12"/>
      <c r="R128" s="12"/>
      <c r="S128" s="12"/>
      <c r="T128" s="12"/>
      <c r="U128" s="12"/>
      <c r="V128" s="12"/>
      <c r="W128" s="12"/>
      <c r="X128" s="12"/>
      <c r="Y128" s="12"/>
      <c r="Z128" s="12"/>
      <c r="AA128" s="12"/>
      <c r="AB128" s="12"/>
      <c r="AC128" s="12"/>
      <c r="AD128" s="12"/>
    </row>
    <row r="129" spans="1:30">
      <c r="A129" s="10">
        <v>7</v>
      </c>
      <c r="B129" s="11" t="s">
        <v>273</v>
      </c>
      <c r="C129" s="6"/>
      <c r="D129" s="11" t="str">
        <f ca="1">IFERROR(__xludf.DUMMYFUNCTION("GOOGLETRANSLATE($B129,(""auto""),(""es""))"),"Retire la cubierta de bloqueo de energía - B10")</f>
        <v>Retire la cubierta de bloqueo de energía - B10</v>
      </c>
      <c r="E129" s="11" t="str">
        <f ca="1">IFERROR(__xludf.DUMMYFUNCTION("GOOGLETRANSLATE($B129,(""auto""),(""FR""))"),"Retirez le couvercle de verrouillage d'alimentation - B10")</f>
        <v>Retirez le couvercle de verrouillage d'alimentation - B10</v>
      </c>
      <c r="F129" s="11" t="str">
        <f ca="1">IFERROR(__xludf.DUMMYFUNCTION("GOOGLETRANSLATE($B129,(""auto""),(""IT""))"),"Rimuovere il coperchio del blocco di alimentazione - B10")</f>
        <v>Rimuovere il coperchio del blocco di alimentazione - B10</v>
      </c>
      <c r="G129" s="12"/>
      <c r="H129" s="12"/>
      <c r="I129" s="12"/>
      <c r="J129" s="12"/>
      <c r="K129" s="12"/>
      <c r="L129" s="12"/>
      <c r="M129" s="12"/>
      <c r="N129" s="12"/>
      <c r="O129" s="12"/>
      <c r="P129" s="12"/>
      <c r="Q129" s="12"/>
      <c r="R129" s="12"/>
      <c r="S129" s="12"/>
      <c r="T129" s="12"/>
      <c r="U129" s="12"/>
      <c r="V129" s="12"/>
      <c r="W129" s="12"/>
      <c r="X129" s="12"/>
      <c r="Y129" s="12"/>
      <c r="Z129" s="12"/>
      <c r="AA129" s="12"/>
      <c r="AB129" s="12"/>
      <c r="AC129" s="12"/>
      <c r="AD129" s="12"/>
    </row>
    <row r="130" spans="1:30">
      <c r="A130" s="10">
        <v>8</v>
      </c>
      <c r="B130" s="11" t="s">
        <v>277</v>
      </c>
      <c r="C130" s="6"/>
      <c r="D130" s="11" t="str">
        <f ca="1">IFERROR(__xludf.DUMMYFUNCTION("GOOGLETRANSLATE($B130,(""auto""),(""es""))"),"Retire la cubierta de la viga principal - B11")</f>
        <v>Retire la cubierta de la viga principal - B11</v>
      </c>
      <c r="E130" s="11" t="str">
        <f ca="1">IFERROR(__xludf.DUMMYFUNCTION("GOOGLETRANSLATE($B130,(""auto""),(""FR""))"),"Retirez le couvercle de la poutre principale - B11")</f>
        <v>Retirez le couvercle de la poutre principale - B11</v>
      </c>
      <c r="F130" s="11" t="str">
        <f ca="1">IFERROR(__xludf.DUMMYFUNCTION("GOOGLETRANSLATE($B130,(""auto""),(""IT""))"),"Rimuovere il coperchio della trave principale - B11")</f>
        <v>Rimuovere il coperchio della trave principale - B11</v>
      </c>
      <c r="G130" s="12"/>
      <c r="H130" s="12"/>
      <c r="I130" s="12"/>
      <c r="J130" s="12"/>
      <c r="K130" s="12"/>
      <c r="L130" s="12"/>
      <c r="M130" s="12"/>
      <c r="N130" s="12"/>
      <c r="O130" s="12"/>
      <c r="P130" s="12"/>
      <c r="Q130" s="12"/>
      <c r="R130" s="12"/>
      <c r="S130" s="12"/>
      <c r="T130" s="12"/>
      <c r="U130" s="12"/>
      <c r="V130" s="12"/>
      <c r="W130" s="12"/>
      <c r="X130" s="12"/>
      <c r="Y130" s="12"/>
      <c r="Z130" s="12"/>
      <c r="AA130" s="12"/>
      <c r="AB130" s="12"/>
      <c r="AC130" s="12"/>
      <c r="AD130" s="12"/>
    </row>
    <row r="131" spans="1:30">
      <c r="A131" s="10">
        <v>9</v>
      </c>
      <c r="B131" s="11" t="s">
        <v>311</v>
      </c>
      <c r="C131" s="6"/>
      <c r="D131" s="11" t="str">
        <f ca="1">IFERROR(__xludf.DUMMYFUNCTION("GOOGLETRANSLATE($B131,(""auto""),(""es""))"),"Retire la cubierta del faro - B14")</f>
        <v>Retire la cubierta del faro - B14</v>
      </c>
      <c r="E131" s="11" t="str">
        <f ca="1">IFERROR(__xludf.DUMMYFUNCTION("GOOGLETRANSLATE($B131,(""auto""),(""FR""))"),"Retirez le couvercle du phare - B14")</f>
        <v>Retirez le couvercle du phare - B14</v>
      </c>
      <c r="F131" s="11" t="str">
        <f ca="1">IFERROR(__xludf.DUMMYFUNCTION("GOOGLETRANSLATE($B131,(""auto""),(""IT""))"),"Rimuovere il coperchio del proiettore - B14")</f>
        <v>Rimuovere il coperchio del proiettore - B14</v>
      </c>
      <c r="G131" s="12"/>
      <c r="H131" s="12"/>
      <c r="I131" s="12"/>
      <c r="J131" s="12"/>
      <c r="K131" s="12"/>
      <c r="L131" s="12"/>
      <c r="M131" s="12"/>
      <c r="N131" s="12"/>
      <c r="O131" s="12"/>
      <c r="P131" s="12"/>
      <c r="Q131" s="12"/>
      <c r="R131" s="12"/>
      <c r="S131" s="12"/>
      <c r="T131" s="12"/>
      <c r="U131" s="12"/>
      <c r="V131" s="12"/>
      <c r="W131" s="12"/>
      <c r="X131" s="12"/>
      <c r="Y131" s="12"/>
      <c r="Z131" s="12"/>
      <c r="AA131" s="12"/>
      <c r="AB131" s="12"/>
      <c r="AC131" s="12"/>
      <c r="AD131" s="12"/>
    </row>
    <row r="132" spans="1:30">
      <c r="A132" s="10">
        <v>10</v>
      </c>
      <c r="B132" s="11" t="s">
        <v>312</v>
      </c>
      <c r="C132" s="6"/>
      <c r="D132" s="11" t="str">
        <f ca="1">IFERROR(__xludf.DUMMYFUNCTION("GOOGLETRANSLATE($B132,(""auto""),(""es""))"),"Retire la cubierta inferior delantera - B17")</f>
        <v>Retire la cubierta inferior delantera - B17</v>
      </c>
      <c r="E132" s="11" t="str">
        <f ca="1">IFERROR(__xludf.DUMMYFUNCTION("GOOGLETRANSLATE($B132,(""auto""),(""FR""))"),"Retirez la couverture inférieure avant - B17")</f>
        <v>Retirez la couverture inférieure avant - B17</v>
      </c>
      <c r="F132" s="11" t="str">
        <f ca="1">IFERROR(__xludf.DUMMYFUNCTION("GOOGLETRANSLATE($B132,(""auto""),(""IT""))"),"Rimuovere il coperchio inferiore anteriore - B17")</f>
        <v>Rimuovere il coperchio inferiore anteriore - B17</v>
      </c>
      <c r="G132" s="12"/>
      <c r="H132" s="12"/>
      <c r="I132" s="12"/>
      <c r="J132" s="12"/>
      <c r="K132" s="12"/>
      <c r="L132" s="12"/>
      <c r="M132" s="12"/>
      <c r="N132" s="12"/>
      <c r="O132" s="12"/>
      <c r="P132" s="12"/>
      <c r="Q132" s="12"/>
      <c r="R132" s="12"/>
      <c r="S132" s="12"/>
      <c r="T132" s="12"/>
      <c r="U132" s="12"/>
      <c r="V132" s="12"/>
      <c r="W132" s="12"/>
      <c r="X132" s="12"/>
      <c r="Y132" s="12"/>
      <c r="Z132" s="12"/>
      <c r="AA132" s="12"/>
      <c r="AB132" s="12"/>
      <c r="AC132" s="12"/>
      <c r="AD132" s="12"/>
    </row>
    <row r="133" spans="1:30">
      <c r="A133" s="69" t="s">
        <v>150</v>
      </c>
      <c r="B133" s="70" t="s">
        <v>151</v>
      </c>
      <c r="C133" s="70" t="s">
        <v>152</v>
      </c>
      <c r="D133" s="70" t="str">
        <f ca="1">IFERROR(__xludf.DUMMYFUNCTION("GOOGLETRANSLATE(B133,(""auto""),(""es""))"),"Descripción")</f>
        <v>Descripción</v>
      </c>
      <c r="E133" s="70" t="str">
        <f ca="1">IFERROR(__xludf.DUMMYFUNCTION("GOOGLETRANSLATE(B133,(""auto""),(""fr""))"),"Description")</f>
        <v>Description</v>
      </c>
      <c r="F133" s="70" t="str">
        <f ca="1">IFERROR(__xludf.DUMMYFUNCTION("GOOGLETRANSLATE(D133,(""auto""),(""IT""))"),"Descrizione")</f>
        <v>Descrizione</v>
      </c>
    </row>
    <row r="134" spans="1:30" ht="93.75" customHeight="1">
      <c r="A134" s="10">
        <v>1</v>
      </c>
      <c r="B134" s="11" t="s">
        <v>313</v>
      </c>
      <c r="C134" s="6"/>
      <c r="D134" s="11" t="str">
        <f ca="1">IFERROR(__xludf.DUMMYFUNCTION("GOOGLETRANSLATE($B134,(""auto""),(""es""))"),"Use un destornillador de Phillips para quitar los 2 tornillos izquierdo y derecho en el círculo rojo y retire la cubierta del faro")</f>
        <v>Use un destornillador de Phillips para quitar los 2 tornillos izquierdo y derecho en el círculo rojo y retire la cubierta del faro</v>
      </c>
      <c r="E134" s="11" t="str">
        <f ca="1">IFERROR(__xludf.DUMMYFUNCTION("GOOGLETRANSLATE($B134,(""auto""),(""FR""))"),"Utilisez un tournevis Phillips pour retirer les 2 vis gauche et droite dans le cercle rouge et retirer le couvercle du phare")</f>
        <v>Utilisez un tournevis Phillips pour retirer les 2 vis gauche et droite dans le cercle rouge et retirer le couvercle du phare</v>
      </c>
      <c r="F134" s="11" t="str">
        <f ca="1">IFERROR(__xludf.DUMMYFUNCTION("GOOGLETRANSLATE($B134,(""auto""),(""IT""))"),"Utilizzare un cacciavite Phillips per rimuovere le viti sinistro e destro nel cerchio rosso e rimuovere il coperchio del faro")</f>
        <v>Utilizzare un cacciavite Phillips per rimuovere le viti sinistro e destro nel cerchio rosso e rimuovere il coperchio del faro</v>
      </c>
      <c r="G134" s="12"/>
      <c r="H134" s="12"/>
      <c r="I134" s="12"/>
      <c r="J134" s="12"/>
      <c r="K134" s="12"/>
      <c r="L134" s="12"/>
      <c r="M134" s="12"/>
      <c r="N134" s="12"/>
      <c r="O134" s="12"/>
      <c r="P134" s="12"/>
      <c r="Q134" s="12"/>
      <c r="R134" s="12"/>
      <c r="S134" s="12"/>
      <c r="T134" s="12"/>
      <c r="U134" s="12"/>
      <c r="V134" s="12"/>
      <c r="W134" s="12"/>
      <c r="X134" s="12"/>
      <c r="Y134" s="12"/>
      <c r="Z134" s="12"/>
      <c r="AA134" s="12"/>
      <c r="AB134" s="12"/>
      <c r="AC134" s="12"/>
      <c r="AD134" s="12"/>
    </row>
    <row r="135" spans="1:30" ht="26.25" customHeight="1">
      <c r="A135" s="73"/>
      <c r="B135" s="73" t="s">
        <v>314</v>
      </c>
      <c r="C135" s="73"/>
      <c r="D135" s="73" t="str">
        <f ca="1">IFERROR(__xludf.DUMMYFUNCTION("GOOGLETRANSLATE($B135,(""auto""),(""es""))"),"B19 - Copa guía izquierda/derecha")</f>
        <v>B19 - Copa guía izquierda/derecha</v>
      </c>
      <c r="E135" s="73" t="str">
        <f ca="1">IFERROR(__xludf.DUMMYFUNCTION("GOOGLETRANSLATE($B135,(""auto""),(""FR""))"),"B19 - Cowl de guide gauche / droit")</f>
        <v>B19 - Cowl de guide gauche / droit</v>
      </c>
      <c r="F135" s="73" t="str">
        <f ca="1">IFERROR(__xludf.DUMMYFUNCTION("GOOGLETRANSLATE($B135,(""auto""),(""IT""))"),"B19 - Cabù di guida sinistra/destra")</f>
        <v>B19 - Cabù di guida sinistra/destra</v>
      </c>
      <c r="G135" s="9"/>
      <c r="H135" s="9"/>
      <c r="I135" s="9"/>
      <c r="J135" s="9"/>
      <c r="K135" s="9"/>
      <c r="L135" s="9"/>
      <c r="M135" s="9"/>
      <c r="N135" s="9"/>
      <c r="O135" s="9"/>
      <c r="P135" s="9"/>
      <c r="Q135" s="9"/>
      <c r="R135" s="9"/>
      <c r="S135" s="9"/>
      <c r="T135" s="9"/>
      <c r="U135" s="9"/>
      <c r="V135" s="9"/>
      <c r="W135" s="9"/>
      <c r="X135" s="9"/>
      <c r="Y135" s="9"/>
      <c r="Z135" s="9"/>
      <c r="AA135" s="9"/>
      <c r="AB135" s="9"/>
      <c r="AC135" s="9"/>
      <c r="AD135" s="9"/>
    </row>
    <row r="136" spans="1:30">
      <c r="A136" s="69" t="s">
        <v>145</v>
      </c>
      <c r="B136" s="70" t="s">
        <v>146</v>
      </c>
      <c r="C136" s="70" t="s">
        <v>147</v>
      </c>
      <c r="D136" s="70" t="str">
        <f ca="1">IFERROR(__xludf.DUMMYFUNCTION("GOOGLETRANSLATE(B136,(""auto""),(""es""))"),"Preparación:")</f>
        <v>Preparación:</v>
      </c>
      <c r="E136" s="70" t="str">
        <f ca="1">IFERROR(__xludf.DUMMYFUNCTION("GOOGLETRANSLATE(B136,(""auto""),(""fr""))"),"Préparation:")</f>
        <v>Préparation:</v>
      </c>
      <c r="F136" s="70" t="str">
        <f ca="1">IFERROR(__xludf.DUMMYFUNCTION("GOOGLETRANSLATE(D136,(""auto""),(""IT""))"),"Preparazione:")</f>
        <v>Preparazione:</v>
      </c>
    </row>
    <row r="137" spans="1:30">
      <c r="A137" s="10">
        <v>1</v>
      </c>
      <c r="B137" s="11" t="s">
        <v>190</v>
      </c>
      <c r="C137" s="6"/>
      <c r="D137" s="11" t="str">
        <f ca="1">IFERROR(__xludf.DUMMYFUNCTION("GOOGLETRANSLATE($B137,(""auto""),(""es""))"),"Saque la cubierta del compartimento de la batería - B23")</f>
        <v>Saque la cubierta del compartimento de la batería - B23</v>
      </c>
      <c r="E137" s="11" t="str">
        <f ca="1">IFERROR(__xludf.DUMMYFUNCTION("GOOGLETRANSLATE($B137,(""auto""),(""FR""))"),"Sortez le couvercle du compartiment de la batterie - B23")</f>
        <v>Sortez le couvercle du compartiment de la batterie - B23</v>
      </c>
      <c r="F137" s="11" t="str">
        <f ca="1">IFERROR(__xludf.DUMMYFUNCTION("GOOGLETRANSLATE($B137,(""auto""),(""IT""))"),"Elimina la copertura del vano batteria - B23")</f>
        <v>Elimina la copertura del vano batteria - B23</v>
      </c>
      <c r="G137" s="12"/>
      <c r="H137" s="12"/>
      <c r="I137" s="12"/>
      <c r="J137" s="12"/>
      <c r="K137" s="12"/>
      <c r="L137" s="12"/>
      <c r="M137" s="12"/>
      <c r="N137" s="12"/>
      <c r="O137" s="12"/>
      <c r="P137" s="12"/>
      <c r="Q137" s="12"/>
      <c r="R137" s="12"/>
      <c r="S137" s="12"/>
      <c r="T137" s="12"/>
      <c r="U137" s="12"/>
      <c r="V137" s="12"/>
      <c r="W137" s="12"/>
      <c r="X137" s="12"/>
      <c r="Y137" s="12"/>
      <c r="Z137" s="12"/>
      <c r="AA137" s="12"/>
      <c r="AB137" s="12"/>
      <c r="AC137" s="12"/>
      <c r="AD137" s="12"/>
    </row>
    <row r="138" spans="1:30">
      <c r="A138" s="10">
        <v>2</v>
      </c>
      <c r="B138" s="11" t="s">
        <v>249</v>
      </c>
      <c r="C138" s="6"/>
      <c r="D138" s="11" t="str">
        <f ca="1">IFERROR(__xludf.DUMMYFUNCTION("GOOGLETRANSLATE($B138,(""auto""),(""es""))"),"Saque la batería de litio - A9")</f>
        <v>Saque la batería de litio - A9</v>
      </c>
      <c r="E138" s="11" t="str">
        <f ca="1">IFERROR(__xludf.DUMMYFUNCTION("GOOGLETRANSLATE($B138,(""auto""),(""FR""))"),"Sortez la batterie au lithium - A9")</f>
        <v>Sortez la batterie au lithium - A9</v>
      </c>
      <c r="F138" s="11" t="str">
        <f ca="1">IFERROR(__xludf.DUMMYFUNCTION("GOOGLETRANSLATE($B138,(""auto""),(""IT""))"),"Elimina la batteria al litio - A9")</f>
        <v>Elimina la batteria al litio - A9</v>
      </c>
      <c r="G138" s="12"/>
      <c r="H138" s="12"/>
      <c r="I138" s="12"/>
      <c r="J138" s="12"/>
      <c r="K138" s="12"/>
      <c r="L138" s="12"/>
      <c r="M138" s="12"/>
      <c r="N138" s="12"/>
      <c r="O138" s="12"/>
      <c r="P138" s="12"/>
      <c r="Q138" s="12"/>
      <c r="R138" s="12"/>
      <c r="S138" s="12"/>
      <c r="T138" s="12"/>
      <c r="U138" s="12"/>
      <c r="V138" s="12"/>
      <c r="W138" s="12"/>
      <c r="X138" s="12"/>
      <c r="Y138" s="12"/>
      <c r="Z138" s="12"/>
      <c r="AA138" s="12"/>
      <c r="AB138" s="12"/>
      <c r="AC138" s="12"/>
      <c r="AD138" s="12"/>
    </row>
    <row r="139" spans="1:30">
      <c r="A139" s="10">
        <v>3</v>
      </c>
      <c r="B139" s="11" t="s">
        <v>315</v>
      </c>
      <c r="C139" s="6"/>
      <c r="D139" s="11" t="str">
        <f ca="1">IFERROR(__xludf.DUMMYFUNCTION("GOOGLETRANSLATE($B139,(""auto""),(""es""))"),"Saca la caja de equipaje - B24")</f>
        <v>Saca la caja de equipaje - B24</v>
      </c>
      <c r="E139" s="11" t="str">
        <f ca="1">IFERROR(__xludf.DUMMYFUNCTION("GOOGLETRANSLATE($B139,(""auto""),(""FR""))"),"Sortez la boîte à bagages - B24")</f>
        <v>Sortez la boîte à bagages - B24</v>
      </c>
      <c r="F139" s="11" t="str">
        <f ca="1">IFERROR(__xludf.DUMMYFUNCTION("GOOGLETRANSLATE($B139,(""auto""),(""IT""))"),"Elimina la scatola dei bagagli - B24")</f>
        <v>Elimina la scatola dei bagagli - B24</v>
      </c>
      <c r="G139" s="12"/>
      <c r="H139" s="12"/>
      <c r="I139" s="12"/>
      <c r="J139" s="12"/>
      <c r="K139" s="12"/>
      <c r="L139" s="12"/>
      <c r="M139" s="12"/>
      <c r="N139" s="12"/>
      <c r="O139" s="12"/>
      <c r="P139" s="12"/>
      <c r="Q139" s="12"/>
      <c r="R139" s="12"/>
      <c r="S139" s="12"/>
      <c r="T139" s="12"/>
      <c r="U139" s="12"/>
      <c r="V139" s="12"/>
      <c r="W139" s="12"/>
      <c r="X139" s="12"/>
      <c r="Y139" s="12"/>
      <c r="Z139" s="12"/>
      <c r="AA139" s="12"/>
      <c r="AB139" s="12"/>
      <c r="AC139" s="12"/>
      <c r="AD139" s="12"/>
    </row>
    <row r="140" spans="1:30">
      <c r="A140" s="69" t="s">
        <v>150</v>
      </c>
      <c r="B140" s="70" t="s">
        <v>151</v>
      </c>
      <c r="C140" s="70" t="s">
        <v>152</v>
      </c>
      <c r="D140" s="70" t="str">
        <f ca="1">IFERROR(__xludf.DUMMYFUNCTION("GOOGLETRANSLATE(B140,(""auto""),(""es""))"),"Descripción")</f>
        <v>Descripción</v>
      </c>
      <c r="E140" s="70" t="str">
        <f ca="1">IFERROR(__xludf.DUMMYFUNCTION("GOOGLETRANSLATE(B140,(""auto""),(""fr""))"),"Description")</f>
        <v>Description</v>
      </c>
      <c r="F140" s="70" t="str">
        <f ca="1">IFERROR(__xludf.DUMMYFUNCTION("GOOGLETRANSLATE(D140,(""auto""),(""IT""))"),"Descrizione")</f>
        <v>Descrizione</v>
      </c>
    </row>
    <row r="141" spans="1:30">
      <c r="A141" s="10">
        <v>1</v>
      </c>
      <c r="B141" s="11" t="s">
        <v>251</v>
      </c>
      <c r="C141" s="6"/>
      <c r="D141" s="11" t="str">
        <f ca="1">IFERROR(__xludf.DUMMYFUNCTION("GOOGLETRANSLATE($B141,(""auto""),(""es""))"),"Retire el pestillo del asiento")</f>
        <v>Retire el pestillo del asiento</v>
      </c>
      <c r="E141" s="11" t="str">
        <f ca="1">IFERROR(__xludf.DUMMYFUNCTION("GOOGLETRANSLATE($B141,(""auto""),(""FR""))"),"Retirez le verrou de siège")</f>
        <v>Retirez le verrou de siège</v>
      </c>
      <c r="F141" s="11" t="str">
        <f ca="1">IFERROR(__xludf.DUMMYFUNCTION("GOOGLETRANSLATE($B141,(""auto""),(""IT""))"),"Rimuovi il fermo del sedile")</f>
        <v>Rimuovi il fermo del sedile</v>
      </c>
      <c r="G141" s="12"/>
      <c r="H141" s="12"/>
      <c r="I141" s="12"/>
      <c r="J141" s="12"/>
      <c r="K141" s="12"/>
      <c r="L141" s="12"/>
      <c r="M141" s="12"/>
      <c r="N141" s="12"/>
      <c r="O141" s="12"/>
      <c r="P141" s="12"/>
      <c r="Q141" s="12"/>
      <c r="R141" s="12"/>
      <c r="S141" s="12"/>
      <c r="T141" s="12"/>
      <c r="U141" s="12"/>
      <c r="V141" s="12"/>
      <c r="W141" s="12"/>
      <c r="X141" s="12"/>
      <c r="Y141" s="12"/>
      <c r="Z141" s="12"/>
      <c r="AA141" s="12"/>
      <c r="AB141" s="12"/>
      <c r="AC141" s="12"/>
      <c r="AD141" s="12"/>
    </row>
    <row r="142" spans="1:30" ht="101.25" customHeight="1">
      <c r="A142" s="10">
        <v>2</v>
      </c>
      <c r="B142" s="11" t="s">
        <v>316</v>
      </c>
      <c r="C142" s="6"/>
      <c r="D142" s="11" t="str">
        <f ca="1">IFERROR(__xludf.DUMMYFUNCTION("GOOGLETRANSLATE($B142,(""auto""),(""es""))"),"Retire los tornillos 4 izquierdo y derecho 4 en el círculo rojo con un destornillador de Phillips y derribe la cubierta de la guía izquierda y derecha.")</f>
        <v>Retire los tornillos 4 izquierdo y derecho 4 en el círculo rojo con un destornillador de Phillips y derribe la cubierta de la guía izquierda y derecha.</v>
      </c>
      <c r="E142" s="11" t="str">
        <f ca="1">IFERROR(__xludf.DUMMYFUNCTION("GOOGLETRANSLATE($B142,(""auto""),(""FR""))"),"Retirez les 4 vis gauche et droite dans le cercle rouge avec un tournevis Phillips et abattez le capot de guide gauche et droit.")</f>
        <v>Retirez les 4 vis gauche et droite dans le cercle rouge avec un tournevis Phillips et abattez le capot de guide gauche et droit.</v>
      </c>
      <c r="F142" s="11" t="str">
        <f ca="1">IFERROR(__xludf.DUMMYFUNCTION("GOOGLETRANSLATE($B142,(""auto""),(""IT""))"),"Rimuovere le 4 viti sinistra e destra nel cerchio rosso con un cacciavite Phillips e abbattere il cappuccio della guida sinistra e destra.")</f>
        <v>Rimuovere le 4 viti sinistra e destra nel cerchio rosso con un cacciavite Phillips e abbattere il cappuccio della guida sinistra e destra.</v>
      </c>
      <c r="G142" s="12"/>
      <c r="H142" s="12"/>
      <c r="I142" s="12"/>
      <c r="J142" s="12"/>
      <c r="K142" s="12"/>
      <c r="L142" s="12"/>
      <c r="M142" s="12"/>
      <c r="N142" s="12"/>
      <c r="O142" s="12"/>
      <c r="P142" s="12"/>
      <c r="Q142" s="12"/>
      <c r="R142" s="12"/>
      <c r="S142" s="12"/>
      <c r="T142" s="12"/>
      <c r="U142" s="12"/>
      <c r="V142" s="12"/>
      <c r="W142" s="12"/>
      <c r="X142" s="12"/>
      <c r="Y142" s="12"/>
      <c r="Z142" s="12"/>
      <c r="AA142" s="12"/>
      <c r="AB142" s="12"/>
      <c r="AC142" s="12"/>
      <c r="AD142" s="12"/>
    </row>
    <row r="143" spans="1:30" ht="26.25" customHeight="1">
      <c r="A143" s="73"/>
      <c r="B143" s="73" t="s">
        <v>317</v>
      </c>
      <c r="C143" s="73"/>
      <c r="D143" s="73" t="str">
        <f ca="1">IFERROR(__xludf.DUMMYFUNCTION("GOOGLETRANSLATE($B143,(""auto""),(""es""))"),"B20 - Cubierta central")</f>
        <v>B20 - Cubierta central</v>
      </c>
      <c r="E143" s="73" t="str">
        <f ca="1">IFERROR(__xludf.DUMMYFUNCTION("GOOGLETRANSLATE($B143,(""auto""),(""FR""))"),"B20 - couverture centrale")</f>
        <v>B20 - couverture centrale</v>
      </c>
      <c r="F143" s="73" t="str">
        <f ca="1">IFERROR(__xludf.DUMMYFUNCTION("GOOGLETRANSLATE($B143,(""auto""),(""IT""))"),"B20 - Copertura centrale")</f>
        <v>B20 - Copertura centrale</v>
      </c>
      <c r="G143" s="9"/>
      <c r="H143" s="9"/>
      <c r="I143" s="9"/>
      <c r="J143" s="9"/>
      <c r="K143" s="9"/>
      <c r="L143" s="9"/>
      <c r="M143" s="9"/>
      <c r="N143" s="9"/>
      <c r="O143" s="9"/>
      <c r="P143" s="9"/>
      <c r="Q143" s="9"/>
      <c r="R143" s="9"/>
      <c r="S143" s="9"/>
      <c r="T143" s="9"/>
      <c r="U143" s="9"/>
      <c r="V143" s="9"/>
      <c r="W143" s="9"/>
      <c r="X143" s="9"/>
      <c r="Y143" s="9"/>
      <c r="Z143" s="9"/>
      <c r="AA143" s="9"/>
      <c r="AB143" s="9"/>
      <c r="AC143" s="9"/>
      <c r="AD143" s="9"/>
    </row>
    <row r="144" spans="1:30">
      <c r="A144" s="69" t="s">
        <v>145</v>
      </c>
      <c r="B144" s="70" t="s">
        <v>146</v>
      </c>
      <c r="C144" s="70" t="s">
        <v>147</v>
      </c>
      <c r="D144" s="70" t="str">
        <f ca="1">IFERROR(__xludf.DUMMYFUNCTION("GOOGLETRANSLATE(B144,(""auto""),(""es""))"),"Preparación:")</f>
        <v>Preparación:</v>
      </c>
      <c r="E144" s="70" t="str">
        <f ca="1">IFERROR(__xludf.DUMMYFUNCTION("GOOGLETRANSLATE(B144,(""auto""),(""fr""))"),"Préparation:")</f>
        <v>Préparation:</v>
      </c>
      <c r="F144" s="70" t="str">
        <f ca="1">IFERROR(__xludf.DUMMYFUNCTION("GOOGLETRANSLATE(D144,(""auto""),(""IT""))"),"Preparazione:")</f>
        <v>Preparazione:</v>
      </c>
    </row>
    <row r="145" spans="1:30">
      <c r="A145" s="10">
        <v>1</v>
      </c>
      <c r="B145" s="11" t="s">
        <v>318</v>
      </c>
      <c r="C145" s="6"/>
      <c r="D145" s="11" t="str">
        <f ca="1">IFERROR(__xludf.DUMMYFUNCTION("GOOGLETRANSLATE($B145,(""auto""),(""es""))"),"Saca el pedal - B7")</f>
        <v>Saca el pedal - B7</v>
      </c>
      <c r="E145" s="11" t="str">
        <f ca="1">IFERROR(__xludf.DUMMYFUNCTION("GOOGLETRANSLATE($B145,(""auto""),(""FR""))"),"Sortez la pédale - B7")</f>
        <v>Sortez la pédale - B7</v>
      </c>
      <c r="F145" s="11" t="str">
        <f ca="1">IFERROR(__xludf.DUMMYFUNCTION("GOOGLETRANSLATE($B145,(""auto""),(""IT""))"),"Elimina il pedale - B7")</f>
        <v>Elimina il pedale - B7</v>
      </c>
      <c r="G145" s="12"/>
      <c r="H145" s="12"/>
      <c r="I145" s="12"/>
      <c r="J145" s="12"/>
      <c r="K145" s="12"/>
      <c r="L145" s="12"/>
      <c r="M145" s="12"/>
      <c r="N145" s="12"/>
      <c r="O145" s="12"/>
      <c r="P145" s="12"/>
      <c r="Q145" s="12"/>
      <c r="R145" s="12"/>
      <c r="S145" s="12"/>
      <c r="T145" s="12"/>
      <c r="U145" s="12"/>
      <c r="V145" s="12"/>
      <c r="W145" s="12"/>
      <c r="X145" s="12"/>
      <c r="Y145" s="12"/>
      <c r="Z145" s="12"/>
      <c r="AA145" s="12"/>
      <c r="AB145" s="12"/>
      <c r="AC145" s="12"/>
      <c r="AD145" s="12"/>
    </row>
    <row r="146" spans="1:30">
      <c r="A146" s="10">
        <v>2</v>
      </c>
      <c r="B146" s="11" t="s">
        <v>190</v>
      </c>
      <c r="C146" s="6"/>
      <c r="D146" s="11" t="str">
        <f ca="1">IFERROR(__xludf.DUMMYFUNCTION("GOOGLETRANSLATE($B146,(""auto""),(""es""))"),"Saque la cubierta del compartimento de la batería - B23")</f>
        <v>Saque la cubierta del compartimento de la batería - B23</v>
      </c>
      <c r="E146" s="11" t="str">
        <f ca="1">IFERROR(__xludf.DUMMYFUNCTION("GOOGLETRANSLATE($B146,(""auto""),(""FR""))"),"Sortez le couvercle du compartiment de la batterie - B23")</f>
        <v>Sortez le couvercle du compartiment de la batterie - B23</v>
      </c>
      <c r="F146" s="11" t="str">
        <f ca="1">IFERROR(__xludf.DUMMYFUNCTION("GOOGLETRANSLATE($B146,(""auto""),(""IT""))"),"Elimina la copertura del vano batteria - B23")</f>
        <v>Elimina la copertura del vano batteria - B23</v>
      </c>
      <c r="G146" s="12"/>
      <c r="H146" s="12"/>
      <c r="I146" s="12"/>
      <c r="J146" s="12"/>
      <c r="K146" s="12"/>
      <c r="L146" s="12"/>
      <c r="M146" s="12"/>
      <c r="N146" s="12"/>
      <c r="O146" s="12"/>
      <c r="P146" s="12"/>
      <c r="Q146" s="12"/>
      <c r="R146" s="12"/>
      <c r="S146" s="12"/>
      <c r="T146" s="12"/>
      <c r="U146" s="12"/>
      <c r="V146" s="12"/>
      <c r="W146" s="12"/>
      <c r="X146" s="12"/>
      <c r="Y146" s="12"/>
      <c r="Z146" s="12"/>
      <c r="AA146" s="12"/>
      <c r="AB146" s="12"/>
      <c r="AC146" s="12"/>
      <c r="AD146" s="12"/>
    </row>
    <row r="147" spans="1:30">
      <c r="A147" s="10">
        <v>3</v>
      </c>
      <c r="B147" s="11" t="s">
        <v>249</v>
      </c>
      <c r="C147" s="6"/>
      <c r="D147" s="11" t="str">
        <f ca="1">IFERROR(__xludf.DUMMYFUNCTION("GOOGLETRANSLATE($B147,(""auto""),(""es""))"),"Saque la batería de litio - A9")</f>
        <v>Saque la batería de litio - A9</v>
      </c>
      <c r="E147" s="11" t="str">
        <f ca="1">IFERROR(__xludf.DUMMYFUNCTION("GOOGLETRANSLATE($B147,(""auto""),(""FR""))"),"Sortez la batterie au lithium - A9")</f>
        <v>Sortez la batterie au lithium - A9</v>
      </c>
      <c r="F147" s="11" t="str">
        <f ca="1">IFERROR(__xludf.DUMMYFUNCTION("GOOGLETRANSLATE($B147,(""auto""),(""IT""))"),"Elimina la batteria al litio - A9")</f>
        <v>Elimina la batteria al litio - A9</v>
      </c>
      <c r="G147" s="12"/>
      <c r="H147" s="12"/>
      <c r="I147" s="12"/>
      <c r="J147" s="12"/>
      <c r="K147" s="12"/>
      <c r="L147" s="12"/>
      <c r="M147" s="12"/>
      <c r="N147" s="12"/>
      <c r="O147" s="12"/>
      <c r="P147" s="12"/>
      <c r="Q147" s="12"/>
      <c r="R147" s="12"/>
      <c r="S147" s="12"/>
      <c r="T147" s="12"/>
      <c r="U147" s="12"/>
      <c r="V147" s="12"/>
      <c r="W147" s="12"/>
      <c r="X147" s="12"/>
      <c r="Y147" s="12"/>
      <c r="Z147" s="12"/>
      <c r="AA147" s="12"/>
      <c r="AB147" s="12"/>
      <c r="AC147" s="12"/>
      <c r="AD147" s="12"/>
    </row>
    <row r="148" spans="1:30">
      <c r="A148" s="10">
        <v>4</v>
      </c>
      <c r="B148" s="11" t="s">
        <v>315</v>
      </c>
      <c r="C148" s="6"/>
      <c r="D148" s="11" t="str">
        <f ca="1">IFERROR(__xludf.DUMMYFUNCTION("GOOGLETRANSLATE($B148,(""auto""),(""es""))"),"Saca la caja de equipaje - B24")</f>
        <v>Saca la caja de equipaje - B24</v>
      </c>
      <c r="E148" s="11" t="str">
        <f ca="1">IFERROR(__xludf.DUMMYFUNCTION("GOOGLETRANSLATE($B148,(""auto""),(""FR""))"),"Sortez la boîte à bagages - B24")</f>
        <v>Sortez la boîte à bagages - B24</v>
      </c>
      <c r="F148" s="11" t="str">
        <f ca="1">IFERROR(__xludf.DUMMYFUNCTION("GOOGLETRANSLATE($B148,(""auto""),(""IT""))"),"Elimina la scatola dei bagagli - B24")</f>
        <v>Elimina la scatola dei bagagli - B24</v>
      </c>
      <c r="G148" s="12"/>
      <c r="H148" s="12"/>
      <c r="I148" s="12"/>
      <c r="J148" s="12"/>
      <c r="K148" s="12"/>
      <c r="L148" s="12"/>
      <c r="M148" s="12"/>
      <c r="N148" s="12"/>
      <c r="O148" s="12"/>
      <c r="P148" s="12"/>
      <c r="Q148" s="12"/>
      <c r="R148" s="12"/>
      <c r="S148" s="12"/>
      <c r="T148" s="12"/>
      <c r="U148" s="12"/>
      <c r="V148" s="12"/>
      <c r="W148" s="12"/>
      <c r="X148" s="12"/>
      <c r="Y148" s="12"/>
      <c r="Z148" s="12"/>
      <c r="AA148" s="12"/>
      <c r="AB148" s="12"/>
      <c r="AC148" s="12"/>
      <c r="AD148" s="12"/>
    </row>
    <row r="149" spans="1:30">
      <c r="A149" s="69" t="s">
        <v>150</v>
      </c>
      <c r="B149" s="70" t="s">
        <v>151</v>
      </c>
      <c r="C149" s="70" t="s">
        <v>152</v>
      </c>
      <c r="D149" s="70" t="str">
        <f ca="1">IFERROR(__xludf.DUMMYFUNCTION("GOOGLETRANSLATE(B149,(""auto""),(""es""))"),"Descripción")</f>
        <v>Descripción</v>
      </c>
      <c r="E149" s="70" t="str">
        <f ca="1">IFERROR(__xludf.DUMMYFUNCTION("GOOGLETRANSLATE(B149,(""auto""),(""fr""))"),"Description")</f>
        <v>Description</v>
      </c>
      <c r="F149" s="70" t="str">
        <f ca="1">IFERROR(__xludf.DUMMYFUNCTION("GOOGLETRANSLATE(D149,(""auto""),(""IT""))"),"Descrizione")</f>
        <v>Descrizione</v>
      </c>
    </row>
    <row r="150" spans="1:30" ht="86.25" customHeight="1">
      <c r="A150" s="10">
        <v>1</v>
      </c>
      <c r="B150" s="11" t="s">
        <v>319</v>
      </c>
      <c r="C150" s="6"/>
      <c r="D150" s="11" t="str">
        <f ca="1">IFERROR(__xludf.DUMMYFUNCTION("GOOGLETRANSLATE($B150,(""auto""),(""es""))"),"Use un destornillador de Phillips para quitar el tornillo 1 en el círculo rojo y retire el conector de alambre del enchufe de carga")</f>
        <v>Use un destornillador de Phillips para quitar el tornillo 1 en el círculo rojo y retire el conector de alambre del enchufe de carga</v>
      </c>
      <c r="E150" s="11" t="str">
        <f ca="1">IFERROR(__xludf.DUMMYFUNCTION("GOOGLETRANSLATE($B150,(""auto""),(""FR""))"),"Utilisez un tournevis Phillips pour retirer la vis 1 dans le cercle rouge et retirer le connecteur du fil de charge de chargement")</f>
        <v>Utilisez un tournevis Phillips pour retirer la vis 1 dans le cercle rouge et retirer le connecteur du fil de charge de chargement</v>
      </c>
      <c r="F150" s="11" t="str">
        <f ca="1">IFERROR(__xludf.DUMMYFUNCTION("GOOGLETRANSLATE($B150,(""auto""),(""IT""))"),"Utilizzare un cacciavite Phillips per rimuovere la vite 1 nel cerchio rosso e rimuovere il connettore del filo della presa di ricarica")</f>
        <v>Utilizzare un cacciavite Phillips per rimuovere la vite 1 nel cerchio rosso e rimuovere il connettore del filo della presa di ricarica</v>
      </c>
      <c r="G150" s="12"/>
      <c r="H150" s="12"/>
      <c r="I150" s="12"/>
      <c r="J150" s="12"/>
      <c r="K150" s="12"/>
      <c r="L150" s="12"/>
      <c r="M150" s="12"/>
      <c r="N150" s="12"/>
      <c r="O150" s="12"/>
      <c r="P150" s="12"/>
      <c r="Q150" s="12"/>
      <c r="R150" s="12"/>
      <c r="S150" s="12"/>
      <c r="T150" s="12"/>
      <c r="U150" s="12"/>
      <c r="V150" s="12"/>
      <c r="W150" s="12"/>
      <c r="X150" s="12"/>
      <c r="Y150" s="12"/>
      <c r="Z150" s="12"/>
      <c r="AA150" s="12"/>
      <c r="AB150" s="12"/>
      <c r="AC150" s="12"/>
      <c r="AD150" s="12"/>
    </row>
    <row r="151" spans="1:30" ht="88.5" customHeight="1">
      <c r="A151" s="10">
        <v>2</v>
      </c>
      <c r="B151" s="11" t="s">
        <v>320</v>
      </c>
      <c r="C151" s="6"/>
      <c r="D151" s="11" t="str">
        <f ca="1">IFERROR(__xludf.DUMMYFUNCTION("GOOGLETRANSLATE($B151,(""auto""),(""es""))"),"Retire los 3 tornillos del círculo rojo con un destornillador de Phillips")</f>
        <v>Retire los 3 tornillos del círculo rojo con un destornillador de Phillips</v>
      </c>
      <c r="E151" s="11" t="str">
        <f ca="1">IFERROR(__xludf.DUMMYFUNCTION("GOOGLETRANSLATE($B151,(""auto""),(""FR""))"),"Retirez les 3 vis du cercle rouge avec un tournevis Phillips")</f>
        <v>Retirez les 3 vis du cercle rouge avec un tournevis Phillips</v>
      </c>
      <c r="F151" s="11" t="str">
        <f ca="1">IFERROR(__xludf.DUMMYFUNCTION("GOOGLETRANSLATE($B151,(""auto""),(""IT""))"),"Rimuovere le 3 viti dal cerchio rosso con un cacciavite Phillips")</f>
        <v>Rimuovere le 3 viti dal cerchio rosso con un cacciavite Phillips</v>
      </c>
      <c r="G151" s="12"/>
      <c r="H151" s="12"/>
      <c r="I151" s="12"/>
      <c r="J151" s="12"/>
      <c r="K151" s="12"/>
      <c r="L151" s="12"/>
      <c r="M151" s="12"/>
      <c r="N151" s="12"/>
      <c r="O151" s="12"/>
      <c r="P151" s="12"/>
      <c r="Q151" s="12"/>
      <c r="R151" s="12"/>
      <c r="S151" s="12"/>
      <c r="T151" s="12"/>
      <c r="U151" s="12"/>
      <c r="V151" s="12"/>
      <c r="W151" s="12"/>
      <c r="X151" s="12"/>
      <c r="Y151" s="12"/>
      <c r="Z151" s="12"/>
      <c r="AA151" s="12"/>
      <c r="AB151" s="12"/>
      <c r="AC151" s="12"/>
      <c r="AD151" s="12"/>
    </row>
    <row r="152" spans="1:30" ht="108.75" customHeight="1">
      <c r="A152" s="10">
        <v>3</v>
      </c>
      <c r="B152" s="11" t="s">
        <v>321</v>
      </c>
      <c r="C152" s="6"/>
      <c r="D152" s="11" t="str">
        <f ca="1">IFERROR(__xludf.DUMMYFUNCTION("GOOGLETRANSLATE($B152,(""auto""),(""es""))"),"
Retire los 2 tornillos en el círculo rojo con un destornillador de Phillips y retire la cubierta central")</f>
        <v xml:space="preserve">
Retire los 2 tornillos en el círculo rojo con un destornillador de Phillips y retire la cubierta central</v>
      </c>
      <c r="E152" s="11" t="str">
        <f ca="1">IFERROR(__xludf.DUMMYFUNCTION("GOOGLETRANSLATE($B152,(""auto""),(""FR""))"),"
Retirez les 2 vis dans le cercle rouge avec un tournevis Phillips et retirez le couvercle central")</f>
        <v xml:space="preserve">
Retirez les 2 vis dans le cercle rouge avec un tournevis Phillips et retirez le couvercle central</v>
      </c>
      <c r="F152" s="11" t="str">
        <f ca="1">IFERROR(__xludf.DUMMYFUNCTION("GOOGLETRANSLATE($B152,(""auto""),(""IT""))"),"
Rimuovere le 2 viti nel cerchio rosso con un cacciavite Phillips e rimuovere il coperchio centrale")</f>
        <v xml:space="preserve">
Rimuovere le 2 viti nel cerchio rosso con un cacciavite Phillips e rimuovere il coperchio centrale</v>
      </c>
      <c r="G152" s="12"/>
      <c r="H152" s="12"/>
      <c r="I152" s="12"/>
      <c r="J152" s="12"/>
      <c r="K152" s="12"/>
      <c r="L152" s="12"/>
      <c r="M152" s="12"/>
      <c r="N152" s="12"/>
      <c r="O152" s="12"/>
      <c r="P152" s="12"/>
      <c r="Q152" s="12"/>
      <c r="R152" s="12"/>
      <c r="S152" s="12"/>
      <c r="T152" s="12"/>
      <c r="U152" s="12"/>
      <c r="V152" s="12"/>
      <c r="W152" s="12"/>
      <c r="X152" s="12"/>
      <c r="Y152" s="12"/>
      <c r="Z152" s="12"/>
      <c r="AA152" s="12"/>
      <c r="AB152" s="12"/>
      <c r="AC152" s="12"/>
      <c r="AD152" s="12"/>
    </row>
    <row r="153" spans="1:30" ht="26.25" customHeight="1">
      <c r="A153" s="73"/>
      <c r="B153" s="73" t="s">
        <v>322</v>
      </c>
      <c r="C153" s="73"/>
      <c r="D153" s="73" t="str">
        <f ca="1">IFERROR(__xludf.DUMMYFUNCTION("GOOGLETRANSLATE($B153,(""auto""),(""es""))"),"B21 - Cubierta del cuerpo izquierda/derecha")</f>
        <v>B21 - Cubierta del cuerpo izquierda/derecha</v>
      </c>
      <c r="E153" s="73" t="str">
        <f ca="1">IFERROR(__xludf.DUMMYFUNCTION("GOOGLETRANSLATE($B153,(""auto""),(""FR""))"),"B21 - Couverture du corps gauche / droite")</f>
        <v>B21 - Couverture du corps gauche / droite</v>
      </c>
      <c r="F153" s="73" t="str">
        <f ca="1">IFERROR(__xludf.DUMMYFUNCTION("GOOGLETRANSLATE($B153,(""auto""),(""IT""))"),"B21 - Copertura del corpo sinistra/destra")</f>
        <v>B21 - Copertura del corpo sinistra/destra</v>
      </c>
      <c r="G153" s="9"/>
      <c r="H153" s="9"/>
      <c r="I153" s="9"/>
      <c r="J153" s="9"/>
      <c r="K153" s="9"/>
      <c r="L153" s="9"/>
      <c r="M153" s="9"/>
      <c r="N153" s="9"/>
      <c r="O153" s="9"/>
      <c r="P153" s="9"/>
      <c r="Q153" s="9"/>
      <c r="R153" s="9"/>
      <c r="S153" s="9"/>
      <c r="T153" s="9"/>
      <c r="U153" s="9"/>
      <c r="V153" s="9"/>
      <c r="W153" s="9"/>
      <c r="X153" s="9"/>
      <c r="Y153" s="9"/>
      <c r="Z153" s="9"/>
      <c r="AA153" s="9"/>
      <c r="AB153" s="9"/>
      <c r="AC153" s="9"/>
      <c r="AD153" s="9"/>
    </row>
    <row r="154" spans="1:30">
      <c r="A154" s="69" t="s">
        <v>145</v>
      </c>
      <c r="B154" s="70" t="s">
        <v>146</v>
      </c>
      <c r="C154" s="70" t="s">
        <v>147</v>
      </c>
      <c r="D154" s="70" t="str">
        <f ca="1">IFERROR(__xludf.DUMMYFUNCTION("GOOGLETRANSLATE(B154,(""auto""),(""es""))"),"Preparación:")</f>
        <v>Preparación:</v>
      </c>
      <c r="E154" s="70" t="str">
        <f ca="1">IFERROR(__xludf.DUMMYFUNCTION("GOOGLETRANSLATE(B154,(""auto""),(""fr""))"),"Préparation:")</f>
        <v>Préparation:</v>
      </c>
      <c r="F154" s="70" t="str">
        <f ca="1">IFERROR(__xludf.DUMMYFUNCTION("GOOGLETRANSLATE(D154,(""auto""),(""IT""))"),"Preparazione:")</f>
        <v>Preparazione:</v>
      </c>
    </row>
    <row r="155" spans="1:30">
      <c r="A155" s="10">
        <v>1</v>
      </c>
      <c r="B155" s="11" t="s">
        <v>318</v>
      </c>
      <c r="C155" s="6"/>
      <c r="D155" s="11" t="str">
        <f ca="1">IFERROR(__xludf.DUMMYFUNCTION("GOOGLETRANSLATE($B155,(""auto""),(""es""))"),"Saca el pedal - B7")</f>
        <v>Saca el pedal - B7</v>
      </c>
      <c r="E155" s="11" t="str">
        <f ca="1">IFERROR(__xludf.DUMMYFUNCTION("GOOGLETRANSLATE($B155,(""auto""),(""FR""))"),"Sortez la pédale - B7")</f>
        <v>Sortez la pédale - B7</v>
      </c>
      <c r="F155" s="11" t="str">
        <f ca="1">IFERROR(__xludf.DUMMYFUNCTION("GOOGLETRANSLATE($B155,(""auto""),(""IT""))"),"Elimina il pedale - B7")</f>
        <v>Elimina il pedale - B7</v>
      </c>
      <c r="G155" s="12"/>
      <c r="H155" s="12"/>
      <c r="I155" s="12"/>
      <c r="J155" s="12"/>
      <c r="K155" s="12"/>
      <c r="L155" s="12"/>
      <c r="M155" s="12"/>
      <c r="N155" s="12"/>
      <c r="O155" s="12"/>
      <c r="P155" s="12"/>
      <c r="Q155" s="12"/>
      <c r="R155" s="12"/>
      <c r="S155" s="12"/>
      <c r="T155" s="12"/>
      <c r="U155" s="12"/>
      <c r="V155" s="12"/>
      <c r="W155" s="12"/>
      <c r="X155" s="12"/>
      <c r="Y155" s="12"/>
      <c r="Z155" s="12"/>
      <c r="AA155" s="12"/>
      <c r="AB155" s="12"/>
      <c r="AC155" s="12"/>
      <c r="AD155" s="12"/>
    </row>
    <row r="156" spans="1:30" ht="26.25" customHeight="1">
      <c r="A156" s="10">
        <v>2</v>
      </c>
      <c r="B156" s="11" t="s">
        <v>190</v>
      </c>
      <c r="C156" s="6"/>
      <c r="D156" s="11" t="str">
        <f ca="1">IFERROR(__xludf.DUMMYFUNCTION("GOOGLETRANSLATE($B156,(""auto""),(""es""))"),"Saque la cubierta del compartimento de la batería - B23")</f>
        <v>Saque la cubierta del compartimento de la batería - B23</v>
      </c>
      <c r="E156" s="11" t="str">
        <f ca="1">IFERROR(__xludf.DUMMYFUNCTION("GOOGLETRANSLATE($B156,(""auto""),(""FR""))"),"Sortez le couvercle du compartiment de la batterie - B23")</f>
        <v>Sortez le couvercle du compartiment de la batterie - B23</v>
      </c>
      <c r="F156" s="11" t="str">
        <f ca="1">IFERROR(__xludf.DUMMYFUNCTION("GOOGLETRANSLATE($B156,(""auto""),(""IT""))"),"Elimina la copertura del vano batteria - B23")</f>
        <v>Elimina la copertura del vano batteria - B23</v>
      </c>
      <c r="G156" s="12"/>
      <c r="H156" s="12"/>
      <c r="I156" s="12"/>
      <c r="J156" s="12"/>
      <c r="K156" s="12"/>
      <c r="L156" s="12"/>
      <c r="M156" s="12"/>
      <c r="N156" s="12"/>
      <c r="O156" s="12"/>
      <c r="P156" s="12"/>
      <c r="Q156" s="12"/>
      <c r="R156" s="12"/>
      <c r="S156" s="12"/>
      <c r="T156" s="12"/>
      <c r="U156" s="12"/>
      <c r="V156" s="12"/>
      <c r="W156" s="12"/>
      <c r="X156" s="12"/>
      <c r="Y156" s="12"/>
      <c r="Z156" s="12"/>
      <c r="AA156" s="12"/>
      <c r="AB156" s="12"/>
      <c r="AC156" s="12"/>
      <c r="AD156" s="12"/>
    </row>
    <row r="157" spans="1:30">
      <c r="A157" s="10">
        <v>3</v>
      </c>
      <c r="B157" s="11" t="s">
        <v>249</v>
      </c>
      <c r="C157" s="6"/>
      <c r="D157" s="11" t="str">
        <f ca="1">IFERROR(__xludf.DUMMYFUNCTION("GOOGLETRANSLATE($B157,(""auto""),(""es""))"),"Saque la batería de litio - A9")</f>
        <v>Saque la batería de litio - A9</v>
      </c>
      <c r="E157" s="11" t="str">
        <f ca="1">IFERROR(__xludf.DUMMYFUNCTION("GOOGLETRANSLATE($B157,(""auto""),(""FR""))"),"Sortez la batterie au lithium - A9")</f>
        <v>Sortez la batterie au lithium - A9</v>
      </c>
      <c r="F157" s="11" t="str">
        <f ca="1">IFERROR(__xludf.DUMMYFUNCTION("GOOGLETRANSLATE($B157,(""auto""),(""IT""))"),"Elimina la batteria al litio - A9")</f>
        <v>Elimina la batteria al litio - A9</v>
      </c>
      <c r="G157" s="12"/>
      <c r="H157" s="12"/>
      <c r="I157" s="12"/>
      <c r="J157" s="12"/>
      <c r="K157" s="12"/>
      <c r="L157" s="12"/>
      <c r="M157" s="12"/>
      <c r="N157" s="12"/>
      <c r="O157" s="12"/>
      <c r="P157" s="12"/>
      <c r="Q157" s="12"/>
      <c r="R157" s="12"/>
      <c r="S157" s="12"/>
      <c r="T157" s="12"/>
      <c r="U157" s="12"/>
      <c r="V157" s="12"/>
      <c r="W157" s="12"/>
      <c r="X157" s="12"/>
      <c r="Y157" s="12"/>
      <c r="Z157" s="12"/>
      <c r="AA157" s="12"/>
      <c r="AB157" s="12"/>
      <c r="AC157" s="12"/>
      <c r="AD157" s="12"/>
    </row>
    <row r="158" spans="1:30">
      <c r="A158" s="10">
        <v>4</v>
      </c>
      <c r="B158" s="11" t="s">
        <v>315</v>
      </c>
      <c r="C158" s="6"/>
      <c r="D158" s="11" t="str">
        <f ca="1">IFERROR(__xludf.DUMMYFUNCTION("GOOGLETRANSLATE($B158,(""auto""),(""es""))"),"Saca la caja de equipaje - B24")</f>
        <v>Saca la caja de equipaje - B24</v>
      </c>
      <c r="E158" s="11" t="str">
        <f ca="1">IFERROR(__xludf.DUMMYFUNCTION("GOOGLETRANSLATE($B158,(""auto""),(""FR""))"),"Sortez la boîte à bagages - B24")</f>
        <v>Sortez la boîte à bagages - B24</v>
      </c>
      <c r="F158" s="11" t="str">
        <f ca="1">IFERROR(__xludf.DUMMYFUNCTION("GOOGLETRANSLATE($B158,(""auto""),(""IT""))"),"Elimina la scatola dei bagagli - B24")</f>
        <v>Elimina la scatola dei bagagli - B24</v>
      </c>
      <c r="G158" s="12"/>
      <c r="H158" s="12"/>
      <c r="I158" s="12"/>
      <c r="J158" s="12"/>
      <c r="K158" s="12"/>
      <c r="L158" s="12"/>
      <c r="M158" s="12"/>
      <c r="N158" s="12"/>
      <c r="O158" s="12"/>
      <c r="P158" s="12"/>
      <c r="Q158" s="12"/>
      <c r="R158" s="12"/>
      <c r="S158" s="12"/>
      <c r="T158" s="12"/>
      <c r="U158" s="12"/>
      <c r="V158" s="12"/>
      <c r="W158" s="12"/>
      <c r="X158" s="12"/>
      <c r="Y158" s="12"/>
      <c r="Z158" s="12"/>
      <c r="AA158" s="12"/>
      <c r="AB158" s="12"/>
      <c r="AC158" s="12"/>
      <c r="AD158" s="12"/>
    </row>
    <row r="159" spans="1:30">
      <c r="A159" s="10">
        <v>5</v>
      </c>
      <c r="B159" s="11" t="s">
        <v>323</v>
      </c>
      <c r="C159" s="6"/>
      <c r="D159" s="11" t="str">
        <f ca="1">IFERROR(__xludf.DUMMYFUNCTION("GOOGLETRANSLATE($B159,(""auto""),(""es""))"),"Después de sacar la cubierta central - B20")</f>
        <v>Después de sacar la cubierta central - B20</v>
      </c>
      <c r="E159" s="11" t="str">
        <f ca="1">IFERROR(__xludf.DUMMYFUNCTION("GOOGLETRANSLATE($B159,(""auto""),(""FR""))"),"Après avoir sorti la couverture centrale - B20")</f>
        <v>Après avoir sorti la couverture centrale - B20</v>
      </c>
      <c r="F159" s="11" t="str">
        <f ca="1">IFERROR(__xludf.DUMMYFUNCTION("GOOGLETRANSLATE($B159,(""auto""),(""IT""))"),"Dopo aver eliminato la copertura centrale - B20")</f>
        <v>Dopo aver eliminato la copertura centrale - B20</v>
      </c>
      <c r="G159" s="12"/>
      <c r="H159" s="12"/>
      <c r="I159" s="12"/>
      <c r="J159" s="12"/>
      <c r="K159" s="12"/>
      <c r="L159" s="12"/>
      <c r="M159" s="12"/>
      <c r="N159" s="12"/>
      <c r="O159" s="12"/>
      <c r="P159" s="12"/>
      <c r="Q159" s="12"/>
      <c r="R159" s="12"/>
      <c r="S159" s="12"/>
      <c r="T159" s="12"/>
      <c r="U159" s="12"/>
      <c r="V159" s="12"/>
      <c r="W159" s="12"/>
      <c r="X159" s="12"/>
      <c r="Y159" s="12"/>
      <c r="Z159" s="12"/>
      <c r="AA159" s="12"/>
      <c r="AB159" s="12"/>
      <c r="AC159" s="12"/>
      <c r="AD159" s="12"/>
    </row>
    <row r="160" spans="1:30">
      <c r="A160" s="10">
        <v>6</v>
      </c>
      <c r="B160" s="11" t="s">
        <v>324</v>
      </c>
      <c r="C160" s="6"/>
      <c r="D160" s="11" t="str">
        <f ca="1">IFERROR(__xludf.DUMMYFUNCTION("GOOGLETRANSLATE($B160,(""auto""),(""es""))"),"Saca la capucha de la guía izquierda y derecha - B19")</f>
        <v>Saca la capucha de la guía izquierda y derecha - B19</v>
      </c>
      <c r="E160" s="11" t="str">
        <f ca="1">IFERROR(__xludf.DUMMYFUNCTION("GOOGLETRANSLATE($B160,(""auto""),(""FR""))"),"Sortez le guide de gauche et de droite - B19")</f>
        <v>Sortez le guide de gauche et de droite - B19</v>
      </c>
      <c r="F160" s="11" t="str">
        <f ca="1">IFERROR(__xludf.DUMMYFUNCTION("GOOGLETRANSLATE($B160,(""auto""),(""IT""))"),"Elimina la guida guida sinistra e destra - B19")</f>
        <v>Elimina la guida guida sinistra e destra - B19</v>
      </c>
      <c r="G160" s="12"/>
      <c r="H160" s="12"/>
      <c r="I160" s="12"/>
      <c r="J160" s="12"/>
      <c r="K160" s="12"/>
      <c r="L160" s="12"/>
      <c r="M160" s="12"/>
      <c r="N160" s="12"/>
      <c r="O160" s="12"/>
      <c r="P160" s="12"/>
      <c r="Q160" s="12"/>
      <c r="R160" s="12"/>
      <c r="S160" s="12"/>
      <c r="T160" s="12"/>
      <c r="U160" s="12"/>
      <c r="V160" s="12"/>
      <c r="W160" s="12"/>
      <c r="X160" s="12"/>
      <c r="Y160" s="12"/>
      <c r="Z160" s="12"/>
      <c r="AA160" s="12"/>
      <c r="AB160" s="12"/>
      <c r="AC160" s="12"/>
      <c r="AD160" s="12"/>
    </row>
    <row r="161" spans="1:30">
      <c r="A161" s="69" t="s">
        <v>150</v>
      </c>
      <c r="B161" s="70" t="s">
        <v>151</v>
      </c>
      <c r="C161" s="70" t="s">
        <v>152</v>
      </c>
      <c r="D161" s="70" t="str">
        <f ca="1">IFERROR(__xludf.DUMMYFUNCTION("GOOGLETRANSLATE(B161,(""auto""),(""es""))"),"Descripción")</f>
        <v>Descripción</v>
      </c>
      <c r="E161" s="70" t="str">
        <f ca="1">IFERROR(__xludf.DUMMYFUNCTION("GOOGLETRANSLATE(B161,(""auto""),(""fr""))"),"Description")</f>
        <v>Description</v>
      </c>
      <c r="F161" s="70" t="str">
        <f ca="1">IFERROR(__xludf.DUMMYFUNCTION("GOOGLETRANSLATE(D161,(""auto""),(""IT""))"),"Descrizione")</f>
        <v>Descrizione</v>
      </c>
    </row>
    <row r="162" spans="1:30" ht="111" customHeight="1">
      <c r="A162" s="10">
        <v>1</v>
      </c>
      <c r="B162" s="11" t="s">
        <v>325</v>
      </c>
      <c r="C162" s="6"/>
      <c r="D162" s="11" t="str">
        <f ca="1">IFERROR(__xludf.DUMMYFUNCTION("GOOGLETRANSLATE($B162,(""auto""),(""es""))"),"
Retire los tornillos izquierdo y derecho del círculo rojo con un destornillador de Phillips")</f>
        <v xml:space="preserve">
Retire los tornillos izquierdo y derecho del círculo rojo con un destornillador de Phillips</v>
      </c>
      <c r="E162" s="11" t="str">
        <f ca="1">IFERROR(__xludf.DUMMYFUNCTION("GOOGLETRANSLATE($B162,(""auto""),(""FR""))"),"
Retirez les vis gauche et droite du cercle rouge avec un tournevis Phillips")</f>
        <v xml:space="preserve">
Retirez les vis gauche et droite du cercle rouge avec un tournevis Phillips</v>
      </c>
      <c r="F162" s="11" t="str">
        <f ca="1">IFERROR(__xludf.DUMMYFUNCTION("GOOGLETRANSLATE($B162,(""auto""),(""IT""))"),"
Rimuovere le viti sinistro e destro dal cerchio rosso con un cacciavite Phillips")</f>
        <v xml:space="preserve">
Rimuovere le viti sinistro e destro dal cerchio rosso con un cacciavite Phillips</v>
      </c>
      <c r="G162" s="12"/>
      <c r="H162" s="12"/>
      <c r="I162" s="12"/>
      <c r="J162" s="12"/>
      <c r="K162" s="12"/>
      <c r="L162" s="12"/>
      <c r="M162" s="12"/>
      <c r="N162" s="12"/>
      <c r="O162" s="12"/>
      <c r="P162" s="12"/>
      <c r="Q162" s="12"/>
      <c r="R162" s="12"/>
      <c r="S162" s="12"/>
      <c r="T162" s="12"/>
      <c r="U162" s="12"/>
      <c r="V162" s="12"/>
      <c r="W162" s="12"/>
      <c r="X162" s="12"/>
      <c r="Y162" s="12"/>
      <c r="Z162" s="12"/>
      <c r="AA162" s="12"/>
      <c r="AB162" s="12"/>
      <c r="AC162" s="12"/>
      <c r="AD162" s="12"/>
    </row>
    <row r="163" spans="1:30" ht="94.5" customHeight="1">
      <c r="A163" s="10">
        <v>2</v>
      </c>
      <c r="B163" s="11" t="s">
        <v>326</v>
      </c>
      <c r="C163" s="6"/>
      <c r="D163" s="11" t="str">
        <f ca="1">IFERROR(__xludf.DUMMYFUNCTION("GOOGLETRANSLATE($B163,(""auto""),(""es""))"),"
Con un destornillador de Phillips, retire los tornillos izquierdo y derecho en el círculo rojo y retire todo")</f>
        <v xml:space="preserve">
Con un destornillador de Phillips, retire los tornillos izquierdo y derecho en el círculo rojo y retire todo</v>
      </c>
      <c r="E163" s="11" t="str">
        <f ca="1">IFERROR(__xludf.DUMMYFUNCTION("GOOGLETRANSLATE($B163,(""auto""),(""FR""))"),"
Avec un tournevis Phillips, retirez les vis gauche et droite dans le cercle rouge et retirez l'ensemble")</f>
        <v xml:space="preserve">
Avec un tournevis Phillips, retirez les vis gauche et droite dans le cercle rouge et retirez l'ensemble</v>
      </c>
      <c r="F163" s="11" t="str">
        <f ca="1">IFERROR(__xludf.DUMMYFUNCTION("GOOGLETRANSLATE($B163,(""auto""),(""IT""))"),"
Con un cacciavite Phillips, rimuovere le viti sinistro e destro nel cerchio rosso e rimuovere il tutto")</f>
        <v xml:space="preserve">
Con un cacciavite Phillips, rimuovere le viti sinistro e destro nel cerchio rosso e rimuovere il tutto</v>
      </c>
      <c r="G163" s="12"/>
      <c r="H163" s="12"/>
      <c r="I163" s="12"/>
      <c r="J163" s="12"/>
      <c r="K163" s="12"/>
      <c r="L163" s="12"/>
      <c r="M163" s="12"/>
      <c r="N163" s="12"/>
      <c r="O163" s="12"/>
      <c r="P163" s="12"/>
      <c r="Q163" s="12"/>
      <c r="R163" s="12"/>
      <c r="S163" s="12"/>
      <c r="T163" s="12"/>
      <c r="U163" s="12"/>
      <c r="V163" s="12"/>
      <c r="W163" s="12"/>
      <c r="X163" s="12"/>
      <c r="Y163" s="12"/>
      <c r="Z163" s="12"/>
      <c r="AA163" s="12"/>
      <c r="AB163" s="12"/>
      <c r="AC163" s="12"/>
      <c r="AD163" s="12"/>
    </row>
    <row r="164" spans="1:30" ht="122.25" customHeight="1">
      <c r="A164" s="10">
        <v>3</v>
      </c>
      <c r="B164" s="11" t="s">
        <v>327</v>
      </c>
      <c r="C164" s="6"/>
      <c r="D164" s="11" t="str">
        <f ca="1">IFERROR(__xludf.DUMMYFUNCTION("GOOGLETRANSLATE($B164,(""auto""),(""es""))"),"
Retire los tornillos izquierdo y derecho en el círculo rojo con un destornillador de Phillips y retire las cubiertas del cuerpo izquierdo y derecho")</f>
        <v xml:space="preserve">
Retire los tornillos izquierdo y derecho en el círculo rojo con un destornillador de Phillips y retire las cubiertas del cuerpo izquierdo y derecho</v>
      </c>
      <c r="E164" s="11" t="str">
        <f ca="1">IFERROR(__xludf.DUMMYFUNCTION("GOOGLETRANSLATE($B164,(""auto""),(""FR""))"),"
Retirez les vis gauche et droite dans le cercle rouge avec un tournevis Phillips et retirez les couvercles du corps gauche et droit")</f>
        <v xml:space="preserve">
Retirez les vis gauche et droite dans le cercle rouge avec un tournevis Phillips et retirez les couvercles du corps gauche et droit</v>
      </c>
      <c r="F164" s="11" t="str">
        <f ca="1">IFERROR(__xludf.DUMMYFUNCTION("GOOGLETRANSLATE($B164,(""auto""),(""IT""))"),"
Rimuovere le viti sinistro e destro nel cerchio rosso con un cacciavite Phillips e rimuovere i coperchi del corpo sinistro e destro")</f>
        <v xml:space="preserve">
Rimuovere le viti sinistro e destro nel cerchio rosso con un cacciavite Phillips e rimuovere i coperchi del corpo sinistro e destro</v>
      </c>
      <c r="G164" s="12"/>
      <c r="H164" s="12"/>
      <c r="I164" s="12"/>
      <c r="J164" s="12"/>
      <c r="K164" s="12"/>
      <c r="L164" s="12"/>
      <c r="M164" s="12"/>
      <c r="N164" s="12"/>
      <c r="O164" s="12"/>
      <c r="P164" s="12"/>
      <c r="Q164" s="12"/>
      <c r="R164" s="12"/>
      <c r="S164" s="12"/>
      <c r="T164" s="12"/>
      <c r="U164" s="12"/>
      <c r="V164" s="12"/>
      <c r="W164" s="12"/>
      <c r="X164" s="12"/>
      <c r="Y164" s="12"/>
      <c r="Z164" s="12"/>
      <c r="AA164" s="12"/>
      <c r="AB164" s="12"/>
      <c r="AC164" s="12"/>
      <c r="AD164" s="12"/>
    </row>
    <row r="165" spans="1:30" ht="26.25" customHeight="1">
      <c r="A165" s="73"/>
      <c r="B165" s="73" t="s">
        <v>328</v>
      </c>
      <c r="C165" s="73"/>
      <c r="D165" s="73" t="str">
        <f ca="1">IFERROR(__xludf.DUMMYFUNCTION("GOOGLETRANSLATE($B165,(""auto""),(""es""))"),"B22 - Cubierta trasera trasera")</f>
        <v>B22 - Cubierta trasera trasera</v>
      </c>
      <c r="E165" s="73" t="str">
        <f ca="1">IFERROR(__xludf.DUMMYFUNCTION("GOOGLETRANSLATE($B165,(""auto""),(""FR""))"),"B22 - COUVERTURE DE SANS SPANG")</f>
        <v>B22 - COUVERTURE DE SANS SPANG</v>
      </c>
      <c r="F165" s="73" t="str">
        <f ca="1">IFERROR(__xludf.DUMMYFUNCTION("GOOGLETRANSLATE($B165,(""auto""),(""IT""))"),"B22 - Coperchio di forcellone posteriore")</f>
        <v>B22 - Coperchio di forcellone posteriore</v>
      </c>
      <c r="G165" s="9"/>
      <c r="H165" s="9"/>
      <c r="I165" s="9"/>
      <c r="J165" s="9"/>
      <c r="K165" s="9"/>
      <c r="L165" s="9"/>
      <c r="M165" s="9"/>
      <c r="N165" s="9"/>
      <c r="O165" s="9"/>
      <c r="P165" s="9"/>
      <c r="Q165" s="9"/>
      <c r="R165" s="9"/>
      <c r="S165" s="9"/>
      <c r="T165" s="9"/>
      <c r="U165" s="9"/>
      <c r="V165" s="9"/>
      <c r="W165" s="9"/>
      <c r="X165" s="9"/>
      <c r="Y165" s="9"/>
      <c r="Z165" s="9"/>
      <c r="AA165" s="9"/>
      <c r="AB165" s="9"/>
      <c r="AC165" s="9"/>
      <c r="AD165" s="9"/>
    </row>
    <row r="166" spans="1:30">
      <c r="A166" s="69" t="s">
        <v>150</v>
      </c>
      <c r="B166" s="70" t="s">
        <v>151</v>
      </c>
      <c r="C166" s="70" t="s">
        <v>152</v>
      </c>
      <c r="D166" s="70" t="str">
        <f ca="1">IFERROR(__xludf.DUMMYFUNCTION("GOOGLETRANSLATE(B166,(""auto""),(""es""))"),"Descripción")</f>
        <v>Descripción</v>
      </c>
      <c r="E166" s="70" t="str">
        <f ca="1">IFERROR(__xludf.DUMMYFUNCTION("GOOGLETRANSLATE(B166,(""auto""),(""fr""))"),"Description")</f>
        <v>Description</v>
      </c>
      <c r="F166" s="70" t="str">
        <f ca="1">IFERROR(__xludf.DUMMYFUNCTION("GOOGLETRANSLATE(D166,(""auto""),(""IT""))"),"Descrizione")</f>
        <v>Descrizione</v>
      </c>
    </row>
    <row r="167" spans="1:30" ht="122.25" customHeight="1">
      <c r="A167" s="10">
        <v>1</v>
      </c>
      <c r="B167" s="11" t="s">
        <v>329</v>
      </c>
      <c r="C167" s="6"/>
      <c r="D167" s="11" t="str">
        <f ca="1">IFERROR(__xludf.DUMMYFUNCTION("GOOGLETRANSLATE($B167,(""auto""),(""es""))"),"
Retire los tres pernos con hexágono interno de 5 mm, luego retire la cubierta trasera trasera.")</f>
        <v xml:space="preserve">
Retire los tres pernos con hexágono interno de 5 mm, luego retire la cubierta trasera trasera.</v>
      </c>
      <c r="E167" s="11" t="str">
        <f ca="1">IFERROR(__xludf.DUMMYFUNCTION("GOOGLETRANSLATE($B167,(""auto""),(""FR""))"),"
Retirez trois boulons avec un hexagone intérieur de 5 mm ， puis retirez le couvercle du bras oscillant arrière.")</f>
        <v xml:space="preserve">
Retirez trois boulons avec un hexagone intérieur de 5 mm ， puis retirez le couvercle du bras oscillant arrière.</v>
      </c>
      <c r="F167" s="11" t="str">
        <f ca="1">IFERROR(__xludf.DUMMYFUNCTION("GOOGLETRANSLATE($B167,(""auto""),(""IT""))"),"
Rimuovere i tre bulloni con esagono interno da 5 mm ， quindi rimuovere il coperchio del forcellone posteriore.")</f>
        <v xml:space="preserve">
Rimuovere i tre bulloni con esagono interno da 5 mm ， quindi rimuovere il coperchio del forcellone posteriore.</v>
      </c>
      <c r="G167" s="12"/>
      <c r="H167" s="12"/>
      <c r="I167" s="12"/>
      <c r="J167" s="12"/>
      <c r="K167" s="12"/>
      <c r="L167" s="12"/>
      <c r="M167" s="12"/>
      <c r="N167" s="12"/>
      <c r="O167" s="12"/>
      <c r="P167" s="12"/>
      <c r="Q167" s="12"/>
      <c r="R167" s="12"/>
      <c r="S167" s="12"/>
      <c r="T167" s="12"/>
      <c r="U167" s="12"/>
      <c r="V167" s="12"/>
      <c r="W167" s="12"/>
      <c r="X167" s="12"/>
      <c r="Y167" s="12"/>
      <c r="Z167" s="12"/>
      <c r="AA167" s="12"/>
      <c r="AB167" s="12"/>
      <c r="AC167" s="12"/>
      <c r="AD167" s="12"/>
    </row>
    <row r="168" spans="1:30" ht="26.25" customHeight="1">
      <c r="A168" s="73"/>
      <c r="B168" s="73" t="s">
        <v>330</v>
      </c>
      <c r="C168" s="73"/>
      <c r="D168" s="73" t="str">
        <f ca="1">IFERROR(__xludf.DUMMYFUNCTION("GOOGLETRANSLATE($B168,(""auto""),(""es""))"),"B23 - Cubierta del compartimento de la batería")</f>
        <v>B23 - Cubierta del compartimento de la batería</v>
      </c>
      <c r="E168" s="73" t="str">
        <f ca="1">IFERROR(__xludf.DUMMYFUNCTION("GOOGLETRANSLATE($B168,(""auto""),(""FR""))"),"B23 - COUVERTURE DE LA BATTERIE")</f>
        <v>B23 - COUVERTURE DE LA BATTERIE</v>
      </c>
      <c r="F168" s="73" t="str">
        <f ca="1">IFERROR(__xludf.DUMMYFUNCTION("GOOGLETRANSLATE($B168,(""auto""),(""IT""))"),"B23 - Coperchio del vano batteria")</f>
        <v>B23 - Coperchio del vano batteria</v>
      </c>
      <c r="G168" s="9"/>
      <c r="H168" s="9"/>
      <c r="I168" s="9"/>
      <c r="J168" s="9"/>
      <c r="K168" s="9"/>
      <c r="L168" s="9"/>
      <c r="M168" s="9"/>
      <c r="N168" s="9"/>
      <c r="O168" s="9"/>
      <c r="P168" s="9"/>
      <c r="Q168" s="9"/>
      <c r="R168" s="9"/>
      <c r="S168" s="9"/>
      <c r="T168" s="9"/>
      <c r="U168" s="9"/>
      <c r="V168" s="9"/>
      <c r="W168" s="9"/>
      <c r="X168" s="9"/>
      <c r="Y168" s="9"/>
      <c r="Z168" s="9"/>
      <c r="AA168" s="9"/>
      <c r="AB168" s="9"/>
      <c r="AC168" s="9"/>
      <c r="AD168" s="9"/>
    </row>
    <row r="169" spans="1:30">
      <c r="A169" s="69" t="s">
        <v>145</v>
      </c>
      <c r="B169" s="70" t="s">
        <v>146</v>
      </c>
      <c r="C169" s="70" t="s">
        <v>147</v>
      </c>
      <c r="D169" s="70" t="str">
        <f ca="1">IFERROR(__xludf.DUMMYFUNCTION("GOOGLETRANSLATE(B169,(""auto""),(""es""))"),"Preparación:")</f>
        <v>Preparación:</v>
      </c>
      <c r="E169" s="70" t="str">
        <f ca="1">IFERROR(__xludf.DUMMYFUNCTION("GOOGLETRANSLATE(B169,(""auto""),(""fr""))"),"Préparation:")</f>
        <v>Préparation:</v>
      </c>
      <c r="F169" s="70" t="str">
        <f ca="1">IFERROR(__xludf.DUMMYFUNCTION("GOOGLETRANSLATE(D169,(""auto""),(""IT""))"),"Preparazione:")</f>
        <v>Preparazione:</v>
      </c>
    </row>
    <row r="170" spans="1:30">
      <c r="A170" s="10">
        <v>1</v>
      </c>
      <c r="B170" s="11" t="s">
        <v>331</v>
      </c>
      <c r="C170" s="6"/>
      <c r="D170" s="11" t="str">
        <f ca="1">IFERROR(__xludf.DUMMYFUNCTION("GOOGLETRANSLATE($B170,(""auto""),(""es""))"),"Abra la cerradura del asiento")</f>
        <v>Abra la cerradura del asiento</v>
      </c>
      <c r="E170" s="11" t="str">
        <f ca="1">IFERROR(__xludf.DUMMYFUNCTION("GOOGLETRANSLATE($B170,(""auto""),(""FR""))"),"Ouvrez le verrouillage du siège")</f>
        <v>Ouvrez le verrouillage du siège</v>
      </c>
      <c r="F170" s="11" t="str">
        <f ca="1">IFERROR(__xludf.DUMMYFUNCTION("GOOGLETRANSLATE($B170,(""auto""),(""IT""))"),"Apri la serratura")</f>
        <v>Apri la serratura</v>
      </c>
      <c r="G170" s="12"/>
      <c r="H170" s="12"/>
      <c r="I170" s="12"/>
      <c r="J170" s="12"/>
      <c r="K170" s="12"/>
      <c r="L170" s="12"/>
      <c r="M170" s="12"/>
      <c r="N170" s="12"/>
      <c r="O170" s="12"/>
      <c r="P170" s="12"/>
      <c r="Q170" s="12"/>
      <c r="R170" s="12"/>
      <c r="S170" s="12"/>
      <c r="T170" s="12"/>
      <c r="U170" s="12"/>
      <c r="V170" s="12"/>
      <c r="W170" s="12"/>
      <c r="X170" s="12"/>
      <c r="Y170" s="12"/>
      <c r="Z170" s="12"/>
      <c r="AA170" s="12"/>
      <c r="AB170" s="12"/>
      <c r="AC170" s="12"/>
      <c r="AD170" s="12"/>
    </row>
    <row r="171" spans="1:30">
      <c r="A171" s="69" t="s">
        <v>150</v>
      </c>
      <c r="B171" s="70" t="s">
        <v>151</v>
      </c>
      <c r="C171" s="70" t="s">
        <v>152</v>
      </c>
      <c r="D171" s="70" t="str">
        <f ca="1">IFERROR(__xludf.DUMMYFUNCTION("GOOGLETRANSLATE(B171,(""auto""),(""es""))"),"Descripción")</f>
        <v>Descripción</v>
      </c>
      <c r="E171" s="70" t="str">
        <f ca="1">IFERROR(__xludf.DUMMYFUNCTION("GOOGLETRANSLATE(B171,(""auto""),(""fr""))"),"Description")</f>
        <v>Description</v>
      </c>
      <c r="F171" s="70" t="str">
        <f ca="1">IFERROR(__xludf.DUMMYFUNCTION("GOOGLETRANSLATE(D171,(""auto""),(""IT""))"),"Descrizione")</f>
        <v>Descrizione</v>
      </c>
    </row>
    <row r="172" spans="1:30" ht="103.5" customHeight="1">
      <c r="A172" s="10">
        <v>1</v>
      </c>
      <c r="B172" s="11" t="s">
        <v>332</v>
      </c>
      <c r="C172" s="6"/>
      <c r="D172" s="11" t="str">
        <f ca="1">IFERROR(__xludf.DUMMYFUNCTION("GOOGLETRANSLATE($B172,(""auto""),(""es""))"),"Retire la cubierta del compartimento de la batería")</f>
        <v>Retire la cubierta del compartimento de la batería</v>
      </c>
      <c r="E172" s="11" t="str">
        <f ca="1">IFERROR(__xludf.DUMMYFUNCTION("GOOGLETRANSLATE($B172,(""auto""),(""FR""))"),"Retirez le couvercle du compartiment de la batterie")</f>
        <v>Retirez le couvercle du compartiment de la batterie</v>
      </c>
      <c r="F172" s="11" t="str">
        <f ca="1">IFERROR(__xludf.DUMMYFUNCTION("GOOGLETRANSLATE($B172,(""auto""),(""IT""))"),"Rimuovere il coperchio del vano batteria")</f>
        <v>Rimuovere il coperchio del vano batteria</v>
      </c>
      <c r="G172" s="12"/>
      <c r="H172" s="12"/>
      <c r="I172" s="12"/>
      <c r="J172" s="12"/>
      <c r="K172" s="12"/>
      <c r="L172" s="12"/>
      <c r="M172" s="12"/>
      <c r="N172" s="12"/>
      <c r="O172" s="12"/>
      <c r="P172" s="12"/>
      <c r="Q172" s="12"/>
      <c r="R172" s="12"/>
      <c r="S172" s="12"/>
      <c r="T172" s="12"/>
      <c r="U172" s="12"/>
      <c r="V172" s="12"/>
      <c r="W172" s="12"/>
      <c r="X172" s="12"/>
      <c r="Y172" s="12"/>
      <c r="Z172" s="12"/>
      <c r="AA172" s="12"/>
      <c r="AB172" s="12"/>
      <c r="AC172" s="12"/>
      <c r="AD172" s="12"/>
    </row>
    <row r="173" spans="1:30" ht="26.25" customHeight="1">
      <c r="A173" s="73"/>
      <c r="B173" s="73" t="s">
        <v>333</v>
      </c>
      <c r="C173" s="73"/>
      <c r="D173" s="73" t="str">
        <f ca="1">IFERROR(__xludf.DUMMYFUNCTION("GOOGLETRANSLATE($B173,(""auto""),(""es""))"),"B24 - Caja de equipaje")</f>
        <v>B24 - Caja de equipaje</v>
      </c>
      <c r="E173" s="73" t="str">
        <f ca="1">IFERROR(__xludf.DUMMYFUNCTION("GOOGLETRANSLATE($B173,(""auto""),(""FR""))"),"B24 - boîte à bagages")</f>
        <v>B24 - boîte à bagages</v>
      </c>
      <c r="F173" s="73" t="str">
        <f ca="1">IFERROR(__xludf.DUMMYFUNCTION("GOOGLETRANSLATE($B173,(""auto""),(""IT""))"),"B24 - Box per bagagli")</f>
        <v>B24 - Box per bagagli</v>
      </c>
      <c r="G173" s="9"/>
      <c r="H173" s="9"/>
      <c r="I173" s="9"/>
      <c r="J173" s="9"/>
      <c r="K173" s="9"/>
      <c r="L173" s="9"/>
      <c r="M173" s="9"/>
      <c r="N173" s="9"/>
      <c r="O173" s="9"/>
      <c r="P173" s="9"/>
      <c r="Q173" s="9"/>
      <c r="R173" s="9"/>
      <c r="S173" s="9"/>
      <c r="T173" s="9"/>
      <c r="U173" s="9"/>
      <c r="V173" s="9"/>
      <c r="W173" s="9"/>
      <c r="X173" s="9"/>
      <c r="Y173" s="9"/>
      <c r="Z173" s="9"/>
      <c r="AA173" s="9"/>
      <c r="AB173" s="9"/>
      <c r="AC173" s="9"/>
      <c r="AD173" s="9"/>
    </row>
    <row r="174" spans="1:30">
      <c r="A174" s="69" t="s">
        <v>145</v>
      </c>
      <c r="B174" s="70" t="s">
        <v>146</v>
      </c>
      <c r="C174" s="70" t="s">
        <v>147</v>
      </c>
      <c r="D174" s="70" t="str">
        <f ca="1">IFERROR(__xludf.DUMMYFUNCTION("GOOGLETRANSLATE(B174,(""auto""),(""es""))"),"Preparación:")</f>
        <v>Preparación:</v>
      </c>
      <c r="E174" s="70" t="str">
        <f ca="1">IFERROR(__xludf.DUMMYFUNCTION("GOOGLETRANSLATE(B174,(""auto""),(""fr""))"),"Préparation:")</f>
        <v>Préparation:</v>
      </c>
      <c r="F174" s="70" t="str">
        <f ca="1">IFERROR(__xludf.DUMMYFUNCTION("GOOGLETRANSLATE(D174,(""auto""),(""IT""))"),"Preparazione:")</f>
        <v>Preparazione:</v>
      </c>
    </row>
    <row r="175" spans="1:30" ht="37.5" customHeight="1">
      <c r="A175" s="10">
        <v>1</v>
      </c>
      <c r="B175" s="11" t="s">
        <v>190</v>
      </c>
      <c r="C175" s="6"/>
      <c r="D175" s="11" t="s">
        <v>334</v>
      </c>
      <c r="E175" s="11" t="str">
        <f ca="1">IFERROR(__xludf.DUMMYFUNCTION("GOOGLETRANSLATE($B175,(""auto""),(""FR""))"),"Sortez le couvercle du compartiment de la batterie - B23")</f>
        <v>Sortez le couvercle du compartiment de la batterie - B23</v>
      </c>
      <c r="F175" s="11" t="str">
        <f ca="1">IFERROR(__xludf.DUMMYFUNCTION("GOOGLETRANSLATE($B175,(""auto""),(""IT""))"),"Elimina la copertura del vano batteria - B23")</f>
        <v>Elimina la copertura del vano batteria - B23</v>
      </c>
      <c r="G175" s="12"/>
      <c r="H175" s="12"/>
      <c r="I175" s="12"/>
      <c r="J175" s="12"/>
      <c r="K175" s="12"/>
      <c r="L175" s="12"/>
      <c r="M175" s="12"/>
      <c r="N175" s="12"/>
      <c r="O175" s="12"/>
      <c r="P175" s="12"/>
      <c r="Q175" s="12"/>
      <c r="R175" s="12"/>
      <c r="S175" s="12"/>
      <c r="T175" s="12"/>
      <c r="U175" s="12"/>
      <c r="V175" s="12"/>
      <c r="W175" s="12"/>
      <c r="X175" s="12"/>
      <c r="Y175" s="12"/>
      <c r="Z175" s="12"/>
      <c r="AA175" s="12"/>
      <c r="AB175" s="12"/>
      <c r="AC175" s="12"/>
      <c r="AD175" s="12"/>
    </row>
    <row r="176" spans="1:30">
      <c r="A176" s="10">
        <v>2</v>
      </c>
      <c r="B176" s="11" t="s">
        <v>249</v>
      </c>
      <c r="C176" s="6"/>
      <c r="D176" s="11" t="str">
        <f ca="1">IFERROR(__xludf.DUMMYFUNCTION("GOOGLETRANSLATE($B176,(""auto""),(""es""))"),"Saque la batería de litio - A9")</f>
        <v>Saque la batería de litio - A9</v>
      </c>
      <c r="E176" s="11" t="str">
        <f ca="1">IFERROR(__xludf.DUMMYFUNCTION("GOOGLETRANSLATE($B176,(""auto""),(""FR""))"),"Sortez la batterie au lithium - A9")</f>
        <v>Sortez la batterie au lithium - A9</v>
      </c>
      <c r="F176" s="11" t="str">
        <f ca="1">IFERROR(__xludf.DUMMYFUNCTION("GOOGLETRANSLATE($B176,(""auto""),(""IT""))"),"Elimina la batteria al litio - A9")</f>
        <v>Elimina la batteria al litio - A9</v>
      </c>
      <c r="G176" s="12"/>
      <c r="H176" s="12"/>
      <c r="I176" s="12"/>
      <c r="J176" s="12"/>
      <c r="K176" s="12"/>
      <c r="L176" s="12"/>
      <c r="M176" s="12"/>
      <c r="N176" s="12"/>
      <c r="O176" s="12"/>
      <c r="P176" s="12"/>
      <c r="Q176" s="12"/>
      <c r="R176" s="12"/>
      <c r="S176" s="12"/>
      <c r="T176" s="12"/>
      <c r="U176" s="12"/>
      <c r="V176" s="12"/>
      <c r="W176" s="12"/>
      <c r="X176" s="12"/>
      <c r="Y176" s="12"/>
      <c r="Z176" s="12"/>
      <c r="AA176" s="12"/>
      <c r="AB176" s="12"/>
      <c r="AC176" s="12"/>
      <c r="AD176" s="12"/>
    </row>
    <row r="177" spans="1:30">
      <c r="A177" s="69" t="s">
        <v>150</v>
      </c>
      <c r="B177" s="70" t="s">
        <v>151</v>
      </c>
      <c r="C177" s="70" t="s">
        <v>152</v>
      </c>
      <c r="D177" s="70" t="str">
        <f ca="1">IFERROR(__xludf.DUMMYFUNCTION("GOOGLETRANSLATE(B177,(""auto""),(""es""))"),"Descripción")</f>
        <v>Descripción</v>
      </c>
      <c r="E177" s="70" t="str">
        <f ca="1">IFERROR(__xludf.DUMMYFUNCTION("GOOGLETRANSLATE(B177,(""auto""),(""fr""))"),"Description")</f>
        <v>Description</v>
      </c>
      <c r="F177" s="70" t="str">
        <f ca="1">IFERROR(__xludf.DUMMYFUNCTION("GOOGLETRANSLATE(D177,(""auto""),(""IT""))"),"Descrizione")</f>
        <v>Descrizione</v>
      </c>
    </row>
    <row r="178" spans="1:30" ht="78" customHeight="1">
      <c r="A178" s="10">
        <v>1</v>
      </c>
      <c r="B178" s="11" t="s">
        <v>335</v>
      </c>
      <c r="C178" s="6"/>
      <c r="D178" s="11" t="str">
        <f ca="1">IFERROR(__xludf.DUMMYFUNCTION("GOOGLETRANSLATE($B178,(""auto""),(""es""))"),"
Use una manga de clavos de 10 mm para quitar los cuatro tornillos en el círculo rojo y la caja de equipaje")</f>
        <v xml:space="preserve">
Use una manga de clavos de 10 mm para quitar los cuatro tornillos en el círculo rojo y la caja de equipaje</v>
      </c>
      <c r="E178" s="11" t="str">
        <f ca="1">IFERROR(__xludf.DUMMYFUNCTION("GOOGLETRANSLATE($B178,(""auto""),(""FR""))"),"
Utilisez un manchon à ongles de 10 mm pour retirer les quatre vis dans le cercle rouge et la boîte à bagages")</f>
        <v xml:space="preserve">
Utilisez un manchon à ongles de 10 mm pour retirer les quatre vis dans le cercle rouge et la boîte à bagages</v>
      </c>
      <c r="F178" s="11" t="str">
        <f ca="1">IFERROR(__xludf.DUMMYFUNCTION("GOOGLETRANSLATE($B178,(""auto""),(""IT""))"),"
Utilizzare una manica per unghie da 10 mm per rimuovere le quattro viti nel cerchio rosso e la scatola del bagaglio")</f>
        <v xml:space="preserve">
Utilizzare una manica per unghie da 10 mm per rimuovere le quattro viti nel cerchio rosso e la scatola del bagaglio</v>
      </c>
      <c r="G178" s="12"/>
      <c r="H178" s="12"/>
      <c r="I178" s="12"/>
      <c r="J178" s="12"/>
      <c r="K178" s="12"/>
      <c r="L178" s="12"/>
      <c r="M178" s="12"/>
      <c r="N178" s="12"/>
      <c r="O178" s="12"/>
      <c r="P178" s="12"/>
      <c r="Q178" s="12"/>
      <c r="R178" s="12"/>
      <c r="S178" s="12"/>
      <c r="T178" s="12"/>
      <c r="U178" s="12"/>
      <c r="V178" s="12"/>
      <c r="W178" s="12"/>
      <c r="X178" s="12"/>
      <c r="Y178" s="12"/>
      <c r="Z178" s="12"/>
      <c r="AA178" s="12"/>
      <c r="AB178" s="12"/>
      <c r="AC178" s="12"/>
      <c r="AD178" s="12"/>
    </row>
    <row r="179" spans="1:30" ht="26.25" customHeight="1">
      <c r="A179" s="73"/>
      <c r="B179" s="73" t="s">
        <v>336</v>
      </c>
      <c r="C179" s="73"/>
      <c r="D179" s="73" t="str">
        <f ca="1">IFERROR(__xludf.DUMMYFUNCTION("GOOGLETRANSLATE($B179,(""auto""),(""es""))"),"B25 - Escudo del lado izquierdo/derecho")</f>
        <v>B25 - Escudo del lado izquierdo/derecho</v>
      </c>
      <c r="E179" s="73" t="str">
        <f ca="1">IFERROR(__xludf.DUMMYFUNCTION("GOOGLETRANSLATE($B179,(""auto""),(""FR""))"),"B25 - Bouclier côté gauche / côté droit")</f>
        <v>B25 - Bouclier côté gauche / côté droit</v>
      </c>
      <c r="F179" s="73" t="str">
        <f ca="1">IFERROR(__xludf.DUMMYFUNCTION("GOOGLETRANSLATE($B179,(""auto""),(""IT""))"),"B25 - Centro Sinistra a sinistra/Scheda destra")</f>
        <v>B25 - Centro Sinistra a sinistra/Scheda destra</v>
      </c>
      <c r="G179" s="9"/>
      <c r="H179" s="9"/>
      <c r="I179" s="9"/>
      <c r="J179" s="9"/>
      <c r="K179" s="9"/>
      <c r="L179" s="9"/>
      <c r="M179" s="9"/>
      <c r="N179" s="9"/>
      <c r="O179" s="9"/>
      <c r="P179" s="9"/>
      <c r="Q179" s="9"/>
      <c r="R179" s="9"/>
      <c r="S179" s="9"/>
      <c r="T179" s="9"/>
      <c r="U179" s="9"/>
      <c r="V179" s="9"/>
      <c r="W179" s="9"/>
      <c r="X179" s="9"/>
      <c r="Y179" s="9"/>
      <c r="Z179" s="9"/>
      <c r="AA179" s="9"/>
      <c r="AB179" s="9"/>
      <c r="AC179" s="9"/>
      <c r="AD179" s="9"/>
    </row>
    <row r="180" spans="1:30">
      <c r="A180" s="69" t="s">
        <v>145</v>
      </c>
      <c r="B180" s="70" t="s">
        <v>146</v>
      </c>
      <c r="C180" s="70" t="s">
        <v>147</v>
      </c>
      <c r="D180" s="70" t="str">
        <f ca="1">IFERROR(__xludf.DUMMYFUNCTION("GOOGLETRANSLATE(B180,(""auto""),(""es""))"),"Preparación:")</f>
        <v>Preparación:</v>
      </c>
      <c r="E180" s="70" t="str">
        <f ca="1">IFERROR(__xludf.DUMMYFUNCTION("GOOGLETRANSLATE(B180,(""auto""),(""fr""))"),"Préparation:")</f>
        <v>Préparation:</v>
      </c>
      <c r="F180" s="70" t="str">
        <f ca="1">IFERROR(__xludf.DUMMYFUNCTION("GOOGLETRANSLATE(D180,(""auto""),(""IT""))"),"Preparazione:")</f>
        <v>Preparazione:</v>
      </c>
    </row>
    <row r="181" spans="1:30">
      <c r="A181" s="10">
        <v>1</v>
      </c>
      <c r="B181" s="11" t="s">
        <v>318</v>
      </c>
      <c r="C181" s="6"/>
      <c r="D181" s="11" t="str">
        <f ca="1">IFERROR(__xludf.DUMMYFUNCTION("GOOGLETRANSLATE($B181,(""auto""),(""es""))"),"Saca el pedal - B7")</f>
        <v>Saca el pedal - B7</v>
      </c>
      <c r="E181" s="11" t="str">
        <f ca="1">IFERROR(__xludf.DUMMYFUNCTION("GOOGLETRANSLATE($B181,(""auto""),(""FR""))"),"Sortez la pédale - B7")</f>
        <v>Sortez la pédale - B7</v>
      </c>
      <c r="F181" s="11" t="str">
        <f ca="1">IFERROR(__xludf.DUMMYFUNCTION("GOOGLETRANSLATE($B181,(""auto""),(""IT""))"),"Elimina il pedale - B7")</f>
        <v>Elimina il pedale - B7</v>
      </c>
      <c r="G181" s="12"/>
      <c r="H181" s="12"/>
      <c r="I181" s="12"/>
      <c r="J181" s="12"/>
      <c r="K181" s="12"/>
      <c r="L181" s="12"/>
      <c r="M181" s="12"/>
      <c r="N181" s="12"/>
      <c r="O181" s="12"/>
      <c r="P181" s="12"/>
      <c r="Q181" s="12"/>
      <c r="R181" s="12"/>
      <c r="S181" s="12"/>
      <c r="T181" s="12"/>
      <c r="U181" s="12"/>
      <c r="V181" s="12"/>
      <c r="W181" s="12"/>
      <c r="X181" s="12"/>
      <c r="Y181" s="12"/>
      <c r="Z181" s="12"/>
      <c r="AA181" s="12"/>
      <c r="AB181" s="12"/>
      <c r="AC181" s="12"/>
      <c r="AD181" s="12"/>
    </row>
    <row r="182" spans="1:30">
      <c r="A182" s="10">
        <v>2</v>
      </c>
      <c r="B182" s="11" t="s">
        <v>190</v>
      </c>
      <c r="C182" s="6"/>
      <c r="D182" s="11" t="str">
        <f ca="1">IFERROR(__xludf.DUMMYFUNCTION("GOOGLETRANSLATE($B182,(""auto""),(""es""))"),"Saque la cubierta del compartimento de la batería - B23")</f>
        <v>Saque la cubierta del compartimento de la batería - B23</v>
      </c>
      <c r="E182" s="11" t="str">
        <f ca="1">IFERROR(__xludf.DUMMYFUNCTION("GOOGLETRANSLATE($B182,(""auto""),(""FR""))"),"Sortez le couvercle du compartiment de la batterie - B23")</f>
        <v>Sortez le couvercle du compartiment de la batterie - B23</v>
      </c>
      <c r="F182" s="11" t="str">
        <f ca="1">IFERROR(__xludf.DUMMYFUNCTION("GOOGLETRANSLATE($B182,(""auto""),(""IT""))"),"Elimina la copertura del vano batteria - B23")</f>
        <v>Elimina la copertura del vano batteria - B23</v>
      </c>
      <c r="G182" s="12"/>
      <c r="H182" s="12"/>
      <c r="I182" s="12"/>
      <c r="J182" s="12"/>
      <c r="K182" s="12"/>
      <c r="L182" s="12"/>
      <c r="M182" s="12"/>
      <c r="N182" s="12"/>
      <c r="O182" s="12"/>
      <c r="P182" s="12"/>
      <c r="Q182" s="12"/>
      <c r="R182" s="12"/>
      <c r="S182" s="12"/>
      <c r="T182" s="12"/>
      <c r="U182" s="12"/>
      <c r="V182" s="12"/>
      <c r="W182" s="12"/>
      <c r="X182" s="12"/>
      <c r="Y182" s="12"/>
      <c r="Z182" s="12"/>
      <c r="AA182" s="12"/>
      <c r="AB182" s="12"/>
      <c r="AC182" s="12"/>
      <c r="AD182" s="12"/>
    </row>
    <row r="183" spans="1:30">
      <c r="A183" s="10">
        <v>3</v>
      </c>
      <c r="B183" s="11" t="s">
        <v>337</v>
      </c>
      <c r="C183" s="6"/>
      <c r="D183" s="11" t="str">
        <f ca="1">IFERROR(__xludf.DUMMYFUNCTION("GOOGLETRANSLATE($B183,(""auto""),(""es""))"),"Saque la batería de litio - A12")</f>
        <v>Saque la batería de litio - A12</v>
      </c>
      <c r="E183" s="11" t="str">
        <f ca="1">IFERROR(__xludf.DUMMYFUNCTION("GOOGLETRANSLATE($B183,(""auto""),(""FR""))"),"Sortez la batterie au lithium - A12")</f>
        <v>Sortez la batterie au lithium - A12</v>
      </c>
      <c r="F183" s="11" t="str">
        <f ca="1">IFERROR(__xludf.DUMMYFUNCTION("GOOGLETRANSLATE($B183,(""auto""),(""IT""))"),"Elimina la batteria al litio - A12")</f>
        <v>Elimina la batteria al litio - A12</v>
      </c>
      <c r="G183" s="12"/>
      <c r="H183" s="12"/>
      <c r="I183" s="12"/>
      <c r="J183" s="12"/>
      <c r="K183" s="12"/>
      <c r="L183" s="12"/>
      <c r="M183" s="12"/>
      <c r="N183" s="12"/>
      <c r="O183" s="12"/>
      <c r="P183" s="12"/>
      <c r="Q183" s="12"/>
      <c r="R183" s="12"/>
      <c r="S183" s="12"/>
      <c r="T183" s="12"/>
      <c r="U183" s="12"/>
      <c r="V183" s="12"/>
      <c r="W183" s="12"/>
      <c r="X183" s="12"/>
      <c r="Y183" s="12"/>
      <c r="Z183" s="12"/>
      <c r="AA183" s="12"/>
      <c r="AB183" s="12"/>
      <c r="AC183" s="12"/>
      <c r="AD183" s="12"/>
    </row>
    <row r="184" spans="1:30">
      <c r="A184" s="10">
        <v>4</v>
      </c>
      <c r="B184" s="11" t="s">
        <v>315</v>
      </c>
      <c r="C184" s="6"/>
      <c r="D184" s="11" t="str">
        <f ca="1">IFERROR(__xludf.DUMMYFUNCTION("GOOGLETRANSLATE($B184,(""auto""),(""es""))"),"Saca la caja de equipaje - B24")</f>
        <v>Saca la caja de equipaje - B24</v>
      </c>
      <c r="E184" s="11" t="str">
        <f ca="1">IFERROR(__xludf.DUMMYFUNCTION("GOOGLETRANSLATE($B184,(""auto""),(""FR""))"),"Sortez la boîte à bagages - B24")</f>
        <v>Sortez la boîte à bagages - B24</v>
      </c>
      <c r="F184" s="11" t="str">
        <f ca="1">IFERROR(__xludf.DUMMYFUNCTION("GOOGLETRANSLATE($B184,(""auto""),(""IT""))"),"Elimina la scatola dei bagagli - B24")</f>
        <v>Elimina la scatola dei bagagli - B24</v>
      </c>
      <c r="G184" s="12"/>
      <c r="H184" s="12"/>
      <c r="I184" s="12"/>
      <c r="J184" s="12"/>
      <c r="K184" s="12"/>
      <c r="L184" s="12"/>
      <c r="M184" s="12"/>
      <c r="N184" s="12"/>
      <c r="O184" s="12"/>
      <c r="P184" s="12"/>
      <c r="Q184" s="12"/>
      <c r="R184" s="12"/>
      <c r="S184" s="12"/>
      <c r="T184" s="12"/>
      <c r="U184" s="12"/>
      <c r="V184" s="12"/>
      <c r="W184" s="12"/>
      <c r="X184" s="12"/>
      <c r="Y184" s="12"/>
      <c r="Z184" s="12"/>
      <c r="AA184" s="12"/>
      <c r="AB184" s="12"/>
      <c r="AC184" s="12"/>
      <c r="AD184" s="12"/>
    </row>
    <row r="185" spans="1:30">
      <c r="A185" s="10">
        <v>5</v>
      </c>
      <c r="B185" s="11" t="s">
        <v>324</v>
      </c>
      <c r="C185" s="6"/>
      <c r="D185" s="11" t="str">
        <f ca="1">IFERROR(__xludf.DUMMYFUNCTION("GOOGLETRANSLATE($B185,(""auto""),(""es""))"),"Saca la capucha de la guía izquierda y derecha - B19")</f>
        <v>Saca la capucha de la guía izquierda y derecha - B19</v>
      </c>
      <c r="E185" s="11" t="str">
        <f ca="1">IFERROR(__xludf.DUMMYFUNCTION("GOOGLETRANSLATE($B185,(""auto""),(""FR""))"),"Sortez le guide de gauche et de droite - B19")</f>
        <v>Sortez le guide de gauche et de droite - B19</v>
      </c>
      <c r="F185" s="11" t="str">
        <f ca="1">IFERROR(__xludf.DUMMYFUNCTION("GOOGLETRANSLATE($B185,(""auto""),(""IT""))"),"Elimina la guida guida sinistra e destra - B19")</f>
        <v>Elimina la guida guida sinistra e destra - B19</v>
      </c>
      <c r="G185" s="12"/>
      <c r="H185" s="12"/>
      <c r="I185" s="12"/>
      <c r="J185" s="12"/>
      <c r="K185" s="12"/>
      <c r="L185" s="12"/>
      <c r="M185" s="12"/>
      <c r="N185" s="12"/>
      <c r="O185" s="12"/>
      <c r="P185" s="12"/>
      <c r="Q185" s="12"/>
      <c r="R185" s="12"/>
      <c r="S185" s="12"/>
      <c r="T185" s="12"/>
      <c r="U185" s="12"/>
      <c r="V185" s="12"/>
      <c r="W185" s="12"/>
      <c r="X185" s="12"/>
      <c r="Y185" s="12"/>
      <c r="Z185" s="12"/>
      <c r="AA185" s="12"/>
      <c r="AB185" s="12"/>
      <c r="AC185" s="12"/>
      <c r="AD185" s="12"/>
    </row>
    <row r="186" spans="1:30">
      <c r="A186" s="10">
        <v>6</v>
      </c>
      <c r="B186" s="11" t="s">
        <v>338</v>
      </c>
      <c r="C186" s="6"/>
      <c r="D186" s="11" t="str">
        <f ca="1">IFERROR(__xludf.DUMMYFUNCTION("GOOGLETRANSLATE($B186,(""auto""),(""es""))"),"Saque la cubierta central trasera - B4")</f>
        <v>Saque la cubierta central trasera - B4</v>
      </c>
      <c r="E186" s="11" t="str">
        <f ca="1">IFERROR(__xludf.DUMMYFUNCTION("GOOGLETRANSLATE($B186,(""auto""),(""FR""))"),"Sortez le couvercle central arrière - B4")</f>
        <v>Sortez le couvercle central arrière - B4</v>
      </c>
      <c r="F186" s="11" t="str">
        <f ca="1">IFERROR(__xludf.DUMMYFUNCTION("GOOGLETRANSLATE($B186,(""auto""),(""IT""))"),"Elimina il coperchio centrale posteriore - B4")</f>
        <v>Elimina il coperchio centrale posteriore - B4</v>
      </c>
      <c r="G186" s="12"/>
      <c r="H186" s="12"/>
      <c r="I186" s="12"/>
      <c r="J186" s="12"/>
      <c r="K186" s="12"/>
      <c r="L186" s="12"/>
      <c r="M186" s="12"/>
      <c r="N186" s="12"/>
      <c r="O186" s="12"/>
      <c r="P186" s="12"/>
      <c r="Q186" s="12"/>
      <c r="R186" s="12"/>
      <c r="S186" s="12"/>
      <c r="T186" s="12"/>
      <c r="U186" s="12"/>
      <c r="V186" s="12"/>
      <c r="W186" s="12"/>
      <c r="X186" s="12"/>
      <c r="Y186" s="12"/>
      <c r="Z186" s="12"/>
      <c r="AA186" s="12"/>
      <c r="AB186" s="12"/>
      <c r="AC186" s="12"/>
      <c r="AD186" s="12"/>
    </row>
    <row r="187" spans="1:30" ht="26.25" customHeight="1">
      <c r="A187" s="10">
        <v>7</v>
      </c>
      <c r="B187" s="11" t="s">
        <v>339</v>
      </c>
      <c r="C187" s="6"/>
      <c r="D187" s="11" t="str">
        <f ca="1">IFERROR(__xludf.DUMMYFUNCTION("GOOGLETRANSLATE($B187,(""auto""),(""es""))"),"Saque la cubierta lateral izquierda/derecha del cuerpo - B21")</f>
        <v>Saque la cubierta lateral izquierda/derecha del cuerpo - B21</v>
      </c>
      <c r="E187" s="11" t="str">
        <f ca="1">IFERROR(__xludf.DUMMYFUNCTION("GOOGLETRANSLATE($B187,(""auto""),(""FR""))"),"Sortez le corps à gauche / couverture latérale droite - B21")</f>
        <v>Sortez le corps à gauche / couverture latérale droite - B21</v>
      </c>
      <c r="F187" s="11" t="str">
        <f ca="1">IFERROR(__xludf.DUMMYFUNCTION("GOOGLETRANSLATE($B187,(""auto""),(""IT""))"),"Elimina la copertura laterale sinistra/destra del corpo - B21")</f>
        <v>Elimina la copertura laterale sinistra/destra del corpo - B21</v>
      </c>
      <c r="G187" s="12"/>
      <c r="H187" s="12"/>
      <c r="I187" s="12"/>
      <c r="J187" s="12"/>
      <c r="K187" s="12"/>
      <c r="L187" s="12"/>
      <c r="M187" s="12"/>
      <c r="N187" s="12"/>
      <c r="O187" s="12"/>
      <c r="P187" s="12"/>
      <c r="Q187" s="12"/>
      <c r="R187" s="12"/>
      <c r="S187" s="12"/>
      <c r="T187" s="12"/>
      <c r="U187" s="12"/>
      <c r="V187" s="12"/>
      <c r="W187" s="12"/>
      <c r="X187" s="12"/>
      <c r="Y187" s="12"/>
      <c r="Z187" s="12"/>
      <c r="AA187" s="12"/>
      <c r="AB187" s="12"/>
      <c r="AC187" s="12"/>
      <c r="AD187" s="12"/>
    </row>
    <row r="188" spans="1:30">
      <c r="A188" s="69" t="s">
        <v>150</v>
      </c>
      <c r="B188" s="70" t="s">
        <v>151</v>
      </c>
      <c r="C188" s="70" t="s">
        <v>152</v>
      </c>
      <c r="D188" s="70" t="str">
        <f ca="1">IFERROR(__xludf.DUMMYFUNCTION("GOOGLETRANSLATE(B188,(""auto""),(""es""))"),"Descripción")</f>
        <v>Descripción</v>
      </c>
      <c r="E188" s="70" t="str">
        <f ca="1">IFERROR(__xludf.DUMMYFUNCTION("GOOGLETRANSLATE(B188,(""auto""),(""fr""))"),"Description")</f>
        <v>Description</v>
      </c>
      <c r="F188" s="70" t="str">
        <f ca="1">IFERROR(__xludf.DUMMYFUNCTION("GOOGLETRANSLATE(D188,(""auto""),(""IT""))"),"Descrizione")</f>
        <v>Descrizione</v>
      </c>
    </row>
    <row r="189" spans="1:30" ht="96.75" customHeight="1">
      <c r="A189" s="10">
        <v>1</v>
      </c>
      <c r="B189" s="11" t="s">
        <v>340</v>
      </c>
      <c r="C189" s="6"/>
      <c r="D189" s="11" t="str">
        <f ca="1">IFERROR(__xludf.DUMMYFUNCTION("GOOGLETRANSLATE($B189,(""auto""),(""es""))"),"Después de completar las preparaciones anteriores, retire el protector lateral del centro izquierdo/derecho")</f>
        <v>Después de completar las preparaciones anteriores, retire el protector lateral del centro izquierdo/derecho</v>
      </c>
      <c r="E189" s="11" t="str">
        <f ca="1">IFERROR(__xludf.DUMMYFUNCTION("GOOGLETRANSLATE($B189,(""auto""),(""FR""))"),"Après avoir terminé les préparations ci-dessus, retirez le bouclier côté gauche / côté droit")</f>
        <v>Après avoir terminé les préparations ci-dessus, retirez le bouclier côté gauche / côté droit</v>
      </c>
      <c r="F189" s="11" t="str">
        <f ca="1">IFERROR(__xludf.DUMMYFUNCTION("GOOGLETRANSLATE($B189,(""auto""),(""IT""))"),"Dopo aver completato i preparativi sopra, rimuovere lo schermo del lato sinistro/destro centrale")</f>
        <v>Dopo aver completato i preparativi sopra, rimuovere lo schermo del lato sinistro/destro centrale</v>
      </c>
      <c r="G189" s="12"/>
      <c r="H189" s="12"/>
      <c r="I189" s="12"/>
      <c r="J189" s="12"/>
      <c r="K189" s="12"/>
      <c r="L189" s="12"/>
      <c r="M189" s="12"/>
      <c r="N189" s="12"/>
      <c r="O189" s="12"/>
      <c r="P189" s="12"/>
      <c r="Q189" s="12"/>
      <c r="R189" s="12"/>
      <c r="S189" s="12"/>
      <c r="T189" s="12"/>
      <c r="U189" s="12"/>
      <c r="V189" s="12"/>
      <c r="W189" s="12"/>
      <c r="X189" s="12"/>
      <c r="Y189" s="12"/>
      <c r="Z189" s="12"/>
      <c r="AA189" s="12"/>
      <c r="AB189" s="12"/>
      <c r="AC189" s="12"/>
      <c r="AD189" s="12"/>
    </row>
    <row r="190" spans="1:30" ht="26.25" customHeight="1">
      <c r="A190" s="73"/>
      <c r="B190" s="73" t="s">
        <v>341</v>
      </c>
      <c r="C190" s="73"/>
      <c r="D190" s="73" t="str">
        <f ca="1">IFERROR(__xludf.DUMMYFUNCTION("GOOGLETRANSLATE($B190,(""auto""),(""es""))"),"B26 - palanca de frenos")</f>
        <v>B26 - palanca de frenos</v>
      </c>
      <c r="E190" s="73" t="str">
        <f ca="1">IFERROR(__xludf.DUMMYFUNCTION("GOOGLETRANSLATE($B190,(""auto""),(""FR""))"),"B26 - levier de frein")</f>
        <v>B26 - levier de frein</v>
      </c>
      <c r="F190" s="73" t="str">
        <f ca="1">IFERROR(__xludf.DUMMYFUNCTION("GOOGLETRANSLATE($B190,(""auto""),(""IT""))"),"B26 - Leva del freno")</f>
        <v>B26 - Leva del freno</v>
      </c>
      <c r="G190" s="9"/>
      <c r="H190" s="9"/>
      <c r="I190" s="9"/>
      <c r="J190" s="9"/>
      <c r="K190" s="9"/>
      <c r="L190" s="9"/>
      <c r="M190" s="9"/>
      <c r="N190" s="9"/>
      <c r="O190" s="9"/>
      <c r="P190" s="9"/>
      <c r="Q190" s="9"/>
      <c r="R190" s="9"/>
      <c r="S190" s="9"/>
      <c r="T190" s="9"/>
      <c r="U190" s="9"/>
      <c r="V190" s="9"/>
      <c r="W190" s="9"/>
      <c r="X190" s="9"/>
      <c r="Y190" s="9"/>
      <c r="Z190" s="9"/>
      <c r="AA190" s="9"/>
      <c r="AB190" s="9"/>
      <c r="AC190" s="9"/>
      <c r="AD190" s="9"/>
    </row>
    <row r="191" spans="1:30">
      <c r="A191" s="69" t="s">
        <v>150</v>
      </c>
      <c r="B191" s="70" t="s">
        <v>151</v>
      </c>
      <c r="C191" s="70" t="s">
        <v>152</v>
      </c>
      <c r="D191" s="70" t="str">
        <f ca="1">IFERROR(__xludf.DUMMYFUNCTION("GOOGLETRANSLATE(B191,(""auto""),(""es""))"),"Descripción")</f>
        <v>Descripción</v>
      </c>
      <c r="E191" s="70" t="str">
        <f ca="1">IFERROR(__xludf.DUMMYFUNCTION("GOOGLETRANSLATE(B191,(""auto""),(""fr""))"),"Description")</f>
        <v>Description</v>
      </c>
      <c r="F191" s="70" t="str">
        <f ca="1">IFERROR(__xludf.DUMMYFUNCTION("GOOGLETRANSLATE(D191,(""auto""),(""IT""))"),"Descrizione")</f>
        <v>Descrizione</v>
      </c>
    </row>
    <row r="192" spans="1:30" ht="96.75" customHeight="1">
      <c r="A192" s="10">
        <v>1</v>
      </c>
      <c r="B192" s="11" t="s">
        <v>342</v>
      </c>
      <c r="C192" s="6"/>
      <c r="D192" s="11" t="str">
        <f ca="1">IFERROR(__xludf.DUMMYFUNCTION("GOOGLETRANSLATE($B192,(""auto""),(""es""))"),"
Use una llave de enchufe de 10 mm para eliminar los dos pernos y tuercas en el círculo rojo, y retire la palanca del freno.")</f>
        <v xml:space="preserve">
Use una llave de enchufe de 10 mm para eliminar los dos pernos y tuercas en el círculo rojo, y retire la palanca del freno.</v>
      </c>
      <c r="E192" s="11" t="str">
        <f ca="1">IFERROR(__xludf.DUMMYFUNCTION("GOOGLETRANSLATE($B192,(""auto""),(""FR""))"),"
Utilisez une clé à douille de 10 mm pour retirer les deux boulons et écrous dans le cercle rouge et retirez le levier de frein.")</f>
        <v xml:space="preserve">
Utilisez une clé à douille de 10 mm pour retirer les deux boulons et écrous dans le cercle rouge et retirez le levier de frein.</v>
      </c>
      <c r="F192" s="11" t="str">
        <f ca="1">IFERROR(__xludf.DUMMYFUNCTION("GOOGLETRANSLATE($B192,(""auto""),(""IT""))"),"
Utilizzare una chiave a presa da 10 mm per rimuovere i due bulloni e dadi nel cerchio rosso e rimuovere la leva del freno.")</f>
        <v xml:space="preserve">
Utilizzare una chiave a presa da 10 mm per rimuovere i due bulloni e dadi nel cerchio rosso e rimuovere la leva del freno.</v>
      </c>
      <c r="G192" s="12"/>
      <c r="H192" s="12"/>
      <c r="I192" s="12"/>
      <c r="J192" s="12"/>
      <c r="K192" s="12"/>
      <c r="L192" s="12"/>
      <c r="M192" s="12"/>
      <c r="N192" s="12"/>
      <c r="O192" s="12"/>
      <c r="P192" s="12"/>
      <c r="Q192" s="12"/>
      <c r="R192" s="12"/>
      <c r="S192" s="12"/>
      <c r="T192" s="12"/>
      <c r="U192" s="12"/>
      <c r="V192" s="12"/>
      <c r="W192" s="12"/>
      <c r="X192" s="12"/>
      <c r="Y192" s="12"/>
      <c r="Z192" s="12"/>
      <c r="AA192" s="12"/>
      <c r="AB192" s="12"/>
      <c r="AC192" s="12"/>
      <c r="AD192" s="12"/>
    </row>
    <row r="193" spans="1:30" ht="26.25" customHeight="1">
      <c r="A193" s="73"/>
      <c r="B193" s="73" t="s">
        <v>343</v>
      </c>
      <c r="C193" s="73"/>
      <c r="D193" s="73" t="str">
        <f ca="1">IFERROR(__xludf.DUMMYFUNCTION("GOOGLETRANSLATE($B193,(""auto""),(""es""))"),"B27 - CBS")</f>
        <v>B27 - CBS</v>
      </c>
      <c r="E193" s="73" t="str">
        <f ca="1">IFERROR(__xludf.DUMMYFUNCTION("GOOGLETRANSLATE($B193,(""auto""),(""FR""))"),"B27 - CBS")</f>
        <v>B27 - CBS</v>
      </c>
      <c r="F193" s="73" t="str">
        <f ca="1">IFERROR(__xludf.DUMMYFUNCTION("GOOGLETRANSLATE($B193,(""auto""),(""IT""))"),"B27 - CBS")</f>
        <v>B27 - CBS</v>
      </c>
      <c r="G193" s="9"/>
      <c r="H193" s="9"/>
      <c r="I193" s="9"/>
      <c r="J193" s="9"/>
      <c r="K193" s="9"/>
      <c r="L193" s="9"/>
      <c r="M193" s="9"/>
      <c r="N193" s="9"/>
      <c r="O193" s="9"/>
      <c r="P193" s="9"/>
      <c r="Q193" s="9"/>
      <c r="R193" s="9"/>
      <c r="S193" s="9"/>
      <c r="T193" s="9"/>
      <c r="U193" s="9"/>
      <c r="V193" s="9"/>
      <c r="W193" s="9"/>
      <c r="X193" s="9"/>
      <c r="Y193" s="9"/>
      <c r="Z193" s="9"/>
      <c r="AA193" s="9"/>
      <c r="AB193" s="9"/>
      <c r="AC193" s="9"/>
      <c r="AD193" s="9"/>
    </row>
    <row r="194" spans="1:30">
      <c r="A194" s="69" t="s">
        <v>145</v>
      </c>
      <c r="B194" s="70" t="s">
        <v>146</v>
      </c>
      <c r="C194" s="70" t="s">
        <v>147</v>
      </c>
      <c r="D194" s="70" t="str">
        <f ca="1">IFERROR(__xludf.DUMMYFUNCTION("GOOGLETRANSLATE(B194,(""auto""),(""es""))"),"Preparación:")</f>
        <v>Preparación:</v>
      </c>
      <c r="E194" s="70" t="str">
        <f ca="1">IFERROR(__xludf.DUMMYFUNCTION("GOOGLETRANSLATE(B194,(""auto""),(""fr""))"),"Préparation:")</f>
        <v>Préparation:</v>
      </c>
      <c r="F194" s="70" t="str">
        <f ca="1">IFERROR(__xludf.DUMMYFUNCTION("GOOGLETRANSLATE(D194,(""auto""),(""IT""))"),"Preparazione:")</f>
        <v>Preparazione:</v>
      </c>
    </row>
    <row r="195" spans="1:30">
      <c r="A195" s="10">
        <v>1</v>
      </c>
      <c r="B195" s="11" t="s">
        <v>156</v>
      </c>
      <c r="C195" s="6"/>
      <c r="D195" s="11" t="str">
        <f ca="1">IFERROR(__xludf.DUMMYFUNCTION("GOOGLETRANSLATE($B195,(""auto""),(""es""))"),"Retire la canasta delantera - B0")</f>
        <v>Retire la canasta delantera - B0</v>
      </c>
      <c r="E195" s="11" t="str">
        <f ca="1">IFERROR(__xludf.DUMMYFUNCTION("GOOGLETRANSLATE($B195,(""auto""),(""FR""))"),"Retirez le panier avant - B0")</f>
        <v>Retirez le panier avant - B0</v>
      </c>
      <c r="F195" s="11" t="str">
        <f ca="1">IFERROR(__xludf.DUMMYFUNCTION("GOOGLETRANSLATE($B195,(""auto""),(""IT""))"),"Rimuovere il cestino anteriore - B0")</f>
        <v>Rimuovere il cestino anteriore - B0</v>
      </c>
      <c r="G195" s="12"/>
      <c r="H195" s="12"/>
      <c r="I195" s="12"/>
      <c r="J195" s="12"/>
      <c r="K195" s="12"/>
      <c r="L195" s="12"/>
      <c r="M195" s="12"/>
      <c r="N195" s="12"/>
      <c r="O195" s="12"/>
      <c r="P195" s="12"/>
      <c r="Q195" s="12"/>
      <c r="R195" s="12"/>
      <c r="S195" s="12"/>
      <c r="T195" s="12"/>
      <c r="U195" s="12"/>
      <c r="V195" s="12"/>
      <c r="W195" s="12"/>
      <c r="X195" s="12"/>
      <c r="Y195" s="12"/>
      <c r="Z195" s="12"/>
      <c r="AA195" s="12"/>
      <c r="AB195" s="12"/>
      <c r="AC195" s="12"/>
      <c r="AD195" s="12"/>
    </row>
    <row r="196" spans="1:30">
      <c r="A196" s="10">
        <v>2</v>
      </c>
      <c r="B196" s="11" t="s">
        <v>149</v>
      </c>
      <c r="C196" s="6"/>
      <c r="D196" s="11" t="str">
        <f ca="1">IFERROR(__xludf.DUMMYFUNCTION("GOOGLETRANSLATE($B196,(""auto""),(""es""))"),"Retire la cubierta frontal - B1")</f>
        <v>Retire la cubierta frontal - B1</v>
      </c>
      <c r="E196" s="11" t="str">
        <f ca="1">IFERROR(__xludf.DUMMYFUNCTION("GOOGLETRANSLATE($B196,(""auto""),(""FR""))"),"Retirez le couvercle avant - B1")</f>
        <v>Retirez le couvercle avant - B1</v>
      </c>
      <c r="F196" s="11" t="str">
        <f ca="1">IFERROR(__xludf.DUMMYFUNCTION("GOOGLETRANSLATE($B196,(""auto""),(""IT""))"),"Rimuovere il coperchio anteriore - B1")</f>
        <v>Rimuovere il coperchio anteriore - B1</v>
      </c>
      <c r="G196" s="12"/>
      <c r="H196" s="12"/>
      <c r="I196" s="12"/>
      <c r="J196" s="12"/>
      <c r="K196" s="12"/>
      <c r="L196" s="12"/>
      <c r="M196" s="12"/>
      <c r="N196" s="12"/>
      <c r="O196" s="12"/>
      <c r="P196" s="12"/>
      <c r="Q196" s="12"/>
      <c r="R196" s="12"/>
      <c r="S196" s="12"/>
      <c r="T196" s="12"/>
      <c r="U196" s="12"/>
      <c r="V196" s="12"/>
      <c r="W196" s="12"/>
      <c r="X196" s="12"/>
      <c r="Y196" s="12"/>
      <c r="Z196" s="12"/>
      <c r="AA196" s="12"/>
      <c r="AB196" s="12"/>
      <c r="AC196" s="12"/>
      <c r="AD196" s="12"/>
    </row>
    <row r="197" spans="1:30">
      <c r="A197" s="10">
        <v>3</v>
      </c>
      <c r="B197" s="11" t="s">
        <v>310</v>
      </c>
      <c r="C197" s="6"/>
      <c r="D197" s="11" t="str">
        <f ca="1">IFERROR(__xludf.DUMMYFUNCTION("GOOGLETRANSLATE($B197,(""auto""),(""es""))"),"Retire los escudos laterales frontales izquierdo y derecho - B5")</f>
        <v>Retire los escudos laterales frontales izquierdo y derecho - B5</v>
      </c>
      <c r="E197" s="11" t="str">
        <f ca="1">IFERROR(__xludf.DUMMYFUNCTION("GOOGLETRANSLATE($B197,(""auto""),(""FR""))"),"Retirez les boucliers côté gauche et droite - B5")</f>
        <v>Retirez les boucliers côté gauche et droite - B5</v>
      </c>
      <c r="F197" s="11" t="str">
        <f ca="1">IFERROR(__xludf.DUMMYFUNCTION("GOOGLETRANSLATE($B197,(""auto""),(""IT""))"),"Rimuovere gli scudi del lato anteriore sinistro e destro - B5")</f>
        <v>Rimuovere gli scudi del lato anteriore sinistro e destro - B5</v>
      </c>
      <c r="G197" s="12"/>
      <c r="H197" s="12"/>
      <c r="I197" s="12"/>
      <c r="J197" s="12"/>
      <c r="K197" s="12"/>
      <c r="L197" s="12"/>
      <c r="M197" s="12"/>
      <c r="N197" s="12"/>
      <c r="O197" s="12"/>
      <c r="P197" s="12"/>
      <c r="Q197" s="12"/>
      <c r="R197" s="12"/>
      <c r="S197" s="12"/>
      <c r="T197" s="12"/>
      <c r="U197" s="12"/>
      <c r="V197" s="12"/>
      <c r="W197" s="12"/>
      <c r="X197" s="12"/>
      <c r="Y197" s="12"/>
      <c r="Z197" s="12"/>
      <c r="AA197" s="12"/>
      <c r="AB197" s="12"/>
      <c r="AC197" s="12"/>
      <c r="AD197" s="12"/>
    </row>
    <row r="198" spans="1:30">
      <c r="A198" s="10">
        <v>4</v>
      </c>
      <c r="B198" s="11" t="s">
        <v>344</v>
      </c>
      <c r="C198" s="6"/>
      <c r="D198" s="11" t="str">
        <f ca="1">IFERROR(__xludf.DUMMYFUNCTION("GOOGLETRANSLATE($B198,(""auto""),(""es""))"),"Retire el pedal - B7")</f>
        <v>Retire el pedal - B7</v>
      </c>
      <c r="E198" s="11" t="str">
        <f ca="1">IFERROR(__xludf.DUMMYFUNCTION("GOOGLETRANSLATE($B198,(""auto""),(""FR""))"),"Retirez la pédale - B7")</f>
        <v>Retirez la pédale - B7</v>
      </c>
      <c r="F198" s="11" t="str">
        <f ca="1">IFERROR(__xludf.DUMMYFUNCTION("GOOGLETRANSLATE($B198,(""auto""),(""IT""))"),"Rimuovi il pedale - B7")</f>
        <v>Rimuovi il pedale - B7</v>
      </c>
      <c r="G198" s="12"/>
      <c r="H198" s="12"/>
      <c r="I198" s="12"/>
      <c r="J198" s="12"/>
      <c r="K198" s="12"/>
      <c r="L198" s="12"/>
      <c r="M198" s="12"/>
      <c r="N198" s="12"/>
      <c r="O198" s="12"/>
      <c r="P198" s="12"/>
      <c r="Q198" s="12"/>
      <c r="R198" s="12"/>
      <c r="S198" s="12"/>
      <c r="T198" s="12"/>
      <c r="U198" s="12"/>
      <c r="V198" s="12"/>
      <c r="W198" s="12"/>
      <c r="X198" s="12"/>
      <c r="Y198" s="12"/>
      <c r="Z198" s="12"/>
      <c r="AA198" s="12"/>
      <c r="AB198" s="12"/>
      <c r="AC198" s="12"/>
      <c r="AD198" s="12"/>
    </row>
    <row r="199" spans="1:30">
      <c r="A199" s="10">
        <v>5</v>
      </c>
      <c r="B199" s="11" t="s">
        <v>271</v>
      </c>
      <c r="C199" s="6"/>
      <c r="D199" s="11" t="str">
        <f ca="1">IFERROR(__xludf.DUMMYFUNCTION("GOOGLETRANSLATE($B199,(""auto""),(""es""))"),"Retire la tira de cubierta (izquierda/derecha) - B8")</f>
        <v>Retire la tira de cubierta (izquierda/derecha) - B8</v>
      </c>
      <c r="E199" s="11" t="str">
        <f ca="1">IFERROR(__xludf.DUMMYFUNCTION("GOOGLETRANSLATE($B199,(""auto""),(""FR""))"),"Retirez la bande de couverture (gauche / droite) - B8")</f>
        <v>Retirez la bande de couverture (gauche / droite) - B8</v>
      </c>
      <c r="F199" s="11" t="str">
        <f ca="1">IFERROR(__xludf.DUMMYFUNCTION("GOOGLETRANSLATE($B199,(""auto""),(""IT""))"),"Rimuovere la striscia di copertura (sinistra/destra) - B8")</f>
        <v>Rimuovere la striscia di copertura (sinistra/destra) - B8</v>
      </c>
      <c r="G199" s="12"/>
      <c r="H199" s="12"/>
      <c r="I199" s="12"/>
      <c r="J199" s="12"/>
      <c r="K199" s="12"/>
      <c r="L199" s="12"/>
      <c r="M199" s="12"/>
      <c r="N199" s="12"/>
      <c r="O199" s="12"/>
      <c r="P199" s="12"/>
      <c r="Q199" s="12"/>
      <c r="R199" s="12"/>
      <c r="S199" s="12"/>
      <c r="T199" s="12"/>
      <c r="U199" s="12"/>
      <c r="V199" s="12"/>
      <c r="W199" s="12"/>
      <c r="X199" s="12"/>
      <c r="Y199" s="12"/>
      <c r="Z199" s="12"/>
      <c r="AA199" s="12"/>
      <c r="AB199" s="12"/>
      <c r="AC199" s="12"/>
      <c r="AD199" s="12"/>
    </row>
    <row r="200" spans="1:30">
      <c r="A200" s="10">
        <v>6</v>
      </c>
      <c r="B200" s="11" t="s">
        <v>272</v>
      </c>
      <c r="C200" s="6"/>
      <c r="D200" s="11" t="str">
        <f ca="1">IFERROR(__xludf.DUMMYFUNCTION("GOOGLETRANSLATE($B200,(""auto""),(""es""))"),"Retire el gancho - B9")</f>
        <v>Retire el gancho - B9</v>
      </c>
      <c r="E200" s="11" t="str">
        <f ca="1">IFERROR(__xludf.DUMMYFUNCTION("GOOGLETRANSLATE($B200,(""auto""),(""FR""))"),"Retirez le crochet - B9")</f>
        <v>Retirez le crochet - B9</v>
      </c>
      <c r="F200" s="11" t="str">
        <f ca="1">IFERROR(__xludf.DUMMYFUNCTION("GOOGLETRANSLATE($B200,(""auto""),(""IT""))"),"Rimuovi il gancio - B9")</f>
        <v>Rimuovi il gancio - B9</v>
      </c>
      <c r="G200" s="12"/>
      <c r="H200" s="12"/>
      <c r="I200" s="12"/>
      <c r="J200" s="12"/>
      <c r="K200" s="12"/>
      <c r="L200" s="12"/>
      <c r="M200" s="12"/>
      <c r="N200" s="12"/>
      <c r="O200" s="12"/>
      <c r="P200" s="12"/>
      <c r="Q200" s="12"/>
      <c r="R200" s="12"/>
      <c r="S200" s="12"/>
      <c r="T200" s="12"/>
      <c r="U200" s="12"/>
      <c r="V200" s="12"/>
      <c r="W200" s="12"/>
      <c r="X200" s="12"/>
      <c r="Y200" s="12"/>
      <c r="Z200" s="12"/>
      <c r="AA200" s="12"/>
      <c r="AB200" s="12"/>
      <c r="AC200" s="12"/>
      <c r="AD200" s="12"/>
    </row>
    <row r="201" spans="1:30">
      <c r="A201" s="10">
        <v>7</v>
      </c>
      <c r="B201" s="11" t="s">
        <v>273</v>
      </c>
      <c r="C201" s="6"/>
      <c r="D201" s="11" t="str">
        <f ca="1">IFERROR(__xludf.DUMMYFUNCTION("GOOGLETRANSLATE($B201,(""auto""),(""es""))"),"Retire la cubierta de bloqueo de energía - B10")</f>
        <v>Retire la cubierta de bloqueo de energía - B10</v>
      </c>
      <c r="E201" s="11" t="str">
        <f ca="1">IFERROR(__xludf.DUMMYFUNCTION("GOOGLETRANSLATE($B201,(""auto""),(""FR""))"),"Retirez le couvercle de verrouillage d'alimentation - B10")</f>
        <v>Retirez le couvercle de verrouillage d'alimentation - B10</v>
      </c>
      <c r="F201" s="11" t="str">
        <f ca="1">IFERROR(__xludf.DUMMYFUNCTION("GOOGLETRANSLATE($B201,(""auto""),(""IT""))"),"Rimuovere il coperchio del blocco di alimentazione - B10")</f>
        <v>Rimuovere il coperchio del blocco di alimentazione - B10</v>
      </c>
      <c r="G201" s="12"/>
      <c r="H201" s="12"/>
      <c r="I201" s="12"/>
      <c r="J201" s="12"/>
      <c r="K201" s="12"/>
      <c r="L201" s="12"/>
      <c r="M201" s="12"/>
      <c r="N201" s="12"/>
      <c r="O201" s="12"/>
      <c r="P201" s="12"/>
      <c r="Q201" s="12"/>
      <c r="R201" s="12"/>
      <c r="S201" s="12"/>
      <c r="T201" s="12"/>
      <c r="U201" s="12"/>
      <c r="V201" s="12"/>
      <c r="W201" s="12"/>
      <c r="X201" s="12"/>
      <c r="Y201" s="12"/>
      <c r="Z201" s="12"/>
      <c r="AA201" s="12"/>
      <c r="AB201" s="12"/>
      <c r="AC201" s="12"/>
      <c r="AD201" s="12"/>
    </row>
    <row r="202" spans="1:30">
      <c r="A202" s="10">
        <v>8</v>
      </c>
      <c r="B202" s="11" t="s">
        <v>277</v>
      </c>
      <c r="C202" s="6"/>
      <c r="D202" s="11" t="str">
        <f ca="1">IFERROR(__xludf.DUMMYFUNCTION("GOOGLETRANSLATE($B202,(""auto""),(""es""))"),"Retire la cubierta de la viga principal - B11")</f>
        <v>Retire la cubierta de la viga principal - B11</v>
      </c>
      <c r="E202" s="11" t="str">
        <f ca="1">IFERROR(__xludf.DUMMYFUNCTION("GOOGLETRANSLATE($B202,(""auto""),(""FR""))"),"Retirez le couvercle de la poutre principale - B11")</f>
        <v>Retirez le couvercle de la poutre principale - B11</v>
      </c>
      <c r="F202" s="11" t="str">
        <f ca="1">IFERROR(__xludf.DUMMYFUNCTION("GOOGLETRANSLATE($B202,(""auto""),(""IT""))"),"Rimuovere il coperchio della trave principale - B11")</f>
        <v>Rimuovere il coperchio della trave principale - B11</v>
      </c>
      <c r="G202" s="12"/>
      <c r="H202" s="12"/>
      <c r="I202" s="12"/>
      <c r="J202" s="12"/>
      <c r="K202" s="12"/>
      <c r="L202" s="12"/>
      <c r="M202" s="12"/>
      <c r="N202" s="12"/>
      <c r="O202" s="12"/>
      <c r="P202" s="12"/>
      <c r="Q202" s="12"/>
      <c r="R202" s="12"/>
      <c r="S202" s="12"/>
      <c r="T202" s="12"/>
      <c r="U202" s="12"/>
      <c r="V202" s="12"/>
      <c r="W202" s="12"/>
      <c r="X202" s="12"/>
      <c r="Y202" s="12"/>
      <c r="Z202" s="12"/>
      <c r="AA202" s="12"/>
      <c r="AB202" s="12"/>
      <c r="AC202" s="12"/>
      <c r="AD202" s="12"/>
    </row>
    <row r="203" spans="1:30">
      <c r="A203" s="69" t="s">
        <v>150</v>
      </c>
      <c r="B203" s="70" t="s">
        <v>151</v>
      </c>
      <c r="C203" s="70" t="s">
        <v>152</v>
      </c>
      <c r="D203" s="70" t="str">
        <f ca="1">IFERROR(__xludf.DUMMYFUNCTION("GOOGLETRANSLATE(B203,(""auto""),(""es""))"),"Descripción")</f>
        <v>Descripción</v>
      </c>
      <c r="E203" s="70" t="str">
        <f ca="1">IFERROR(__xludf.DUMMYFUNCTION("GOOGLETRANSLATE(B203,(""auto""),(""fr""))"),"Description")</f>
        <v>Description</v>
      </c>
      <c r="F203" s="70" t="str">
        <f ca="1">IFERROR(__xludf.DUMMYFUNCTION("GOOGLETRANSLATE(D203,(""auto""),(""IT""))"),"Descrizione")</f>
        <v>Descrizione</v>
      </c>
    </row>
    <row r="204" spans="1:30" ht="104.25" customHeight="1">
      <c r="A204" s="10">
        <v>1</v>
      </c>
      <c r="B204" s="11" t="s">
        <v>345</v>
      </c>
      <c r="C204" s="6"/>
      <c r="D204" s="11" t="str">
        <f ca="1">IFERROR(__xludf.DUMMYFUNCTION("GOOGLETRANSLATE($B204,(""auto""),(""es""))"),"
Use hexágono interno de 5 mm para eliminar los dos pernos del soporte del velocímetro y retire el conjunto del velocímetro")</f>
        <v xml:space="preserve">
Use hexágono interno de 5 mm para eliminar los dos pernos del soporte del velocímetro y retire el conjunto del velocímetro</v>
      </c>
      <c r="E204" s="11" t="str">
        <f ca="1">IFERROR(__xludf.DUMMYFUNCTION("GOOGLETRANSLATE($B204,(""auto""),(""FR""))"),"
Utilisez l'hexagone intérieur de 5 mm pour retirer les deux boulons du support de compteur de vitesse et retirer l'ensemble du compteur de vitesse")</f>
        <v xml:space="preserve">
Utilisez l'hexagone intérieur de 5 mm pour retirer les deux boulons du support de compteur de vitesse et retirer l'ensemble du compteur de vitesse</v>
      </c>
      <c r="F204" s="11" t="str">
        <f ca="1">IFERROR(__xludf.DUMMYFUNCTION("GOOGLETRANSLATE($B204,(""auto""),(""IT""))"),"
Utilizzare l'esagono interno da 5 mm per rimuovere i due bulloni della staffa del tachimetro e rimuovere il gruppo tachimetro")</f>
        <v xml:space="preserve">
Utilizzare l'esagono interno da 5 mm per rimuovere i due bulloni della staffa del tachimetro e rimuovere il gruppo tachimetro</v>
      </c>
      <c r="G204" s="12"/>
      <c r="H204" s="12"/>
      <c r="I204" s="12"/>
      <c r="J204" s="12"/>
      <c r="K204" s="12"/>
      <c r="L204" s="12"/>
      <c r="M204" s="12"/>
      <c r="N204" s="12"/>
      <c r="O204" s="12"/>
      <c r="P204" s="12"/>
      <c r="Q204" s="12"/>
      <c r="R204" s="12"/>
      <c r="S204" s="12"/>
      <c r="T204" s="12"/>
      <c r="U204" s="12"/>
      <c r="V204" s="12"/>
      <c r="W204" s="12"/>
      <c r="X204" s="12"/>
      <c r="Y204" s="12"/>
      <c r="Z204" s="12"/>
      <c r="AA204" s="12"/>
      <c r="AB204" s="12"/>
      <c r="AC204" s="12"/>
      <c r="AD204" s="12"/>
    </row>
    <row r="205" spans="1:30" ht="130.5" customHeight="1">
      <c r="A205" s="10">
        <v>2</v>
      </c>
      <c r="B205" s="11" t="s">
        <v>346</v>
      </c>
      <c r="C205" s="6"/>
      <c r="D205" s="11" t="str">
        <f ca="1">IFERROR(__xludf.DUMMYFUNCTION("GOOGLETRANSLATE($B205,(""auto""),(""es""))"),"
Desenchufe el conector del interruptor de freno y desenchufe el arnés de cableado")</f>
        <v xml:space="preserve">
Desenchufe el conector del interruptor de freno y desenchufe el arnés de cableado</v>
      </c>
      <c r="E205" s="11" t="str">
        <f ca="1">IFERROR(__xludf.DUMMYFUNCTION("GOOGLETRANSLATE($B205,(""auto""),(""FR""))"),"
Débranchez le connecteur de l'interrupteur de frein et débranchez le faisceau de câbles")</f>
        <v xml:space="preserve">
Débranchez le connecteur de l'interrupteur de frein et débranchez le faisceau de câbles</v>
      </c>
      <c r="F205" s="11" t="str">
        <f ca="1">IFERROR(__xludf.DUMMYFUNCTION("GOOGLETRANSLATE($B205,(""auto""),(""IT""))"),"
Scollegare il connettore dell'interruttore del freno e scollegare il cablaggio")</f>
        <v xml:space="preserve">
Scollegare il connettore dell'interruttore del freno e scollegare il cablaggio</v>
      </c>
      <c r="G205" s="12"/>
      <c r="H205" s="12"/>
      <c r="I205" s="12"/>
      <c r="J205" s="12"/>
      <c r="K205" s="12"/>
      <c r="L205" s="12"/>
      <c r="M205" s="12"/>
      <c r="N205" s="12"/>
      <c r="O205" s="12"/>
      <c r="P205" s="12"/>
      <c r="Q205" s="12"/>
      <c r="R205" s="12"/>
      <c r="S205" s="12"/>
      <c r="T205" s="12"/>
      <c r="U205" s="12"/>
      <c r="V205" s="12"/>
      <c r="W205" s="12"/>
      <c r="X205" s="12"/>
      <c r="Y205" s="12"/>
      <c r="Z205" s="12"/>
      <c r="AA205" s="12"/>
      <c r="AB205" s="12"/>
      <c r="AC205" s="12"/>
      <c r="AD205" s="12"/>
    </row>
    <row r="206" spans="1:30" ht="138" customHeight="1">
      <c r="A206" s="10">
        <v>3</v>
      </c>
      <c r="B206" s="11" t="s">
        <v>347</v>
      </c>
      <c r="C206" s="6"/>
      <c r="D206" s="11" t="str">
        <f ca="1">IFERROR(__xludf.DUMMYFUNCTION("GOOGLETRANSLATE($B206,(""auto""),(""es""))"),"
Use una llave de 8 mm para eliminar el perno de fijación de la bomba superior de freno izquierdo/derecho")</f>
        <v xml:space="preserve">
Use una llave de 8 mm para eliminar el perno de fijación de la bomba superior de freno izquierdo/derecho</v>
      </c>
      <c r="E206" s="11" t="str">
        <f ca="1">IFERROR(__xludf.DUMMYFUNCTION("GOOGLETRANSLATE($B206,(""auto""),(""FR""))"),"
Utilisez la clé de 8 mm pour retirer le boulon de fixation de la pompe supérieure du frein gauche / droit")</f>
        <v xml:space="preserve">
Utilisez la clé de 8 mm pour retirer le boulon de fixation de la pompe supérieure du frein gauche / droit</v>
      </c>
      <c r="F206" s="11" t="str">
        <f ca="1">IFERROR(__xludf.DUMMYFUNCTION("GOOGLETRANSLATE($B206,(""auto""),(""IT""))"),"
Utilizzare la chiave da 8 mm per rimuovere il bullone di fissaggio della pompa del freno sinistra/destra")</f>
        <v xml:space="preserve">
Utilizzare la chiave da 8 mm per rimuovere il bullone di fissaggio della pompa del freno sinistra/destra</v>
      </c>
      <c r="G206" s="12"/>
      <c r="H206" s="12"/>
      <c r="I206" s="12"/>
      <c r="J206" s="12"/>
      <c r="K206" s="12"/>
      <c r="L206" s="12"/>
      <c r="M206" s="12"/>
      <c r="N206" s="12"/>
      <c r="O206" s="12"/>
      <c r="P206" s="12"/>
      <c r="Q206" s="12"/>
      <c r="R206" s="12"/>
      <c r="S206" s="12"/>
      <c r="T206" s="12"/>
      <c r="U206" s="12"/>
      <c r="V206" s="12"/>
      <c r="W206" s="12"/>
      <c r="X206" s="12"/>
      <c r="Y206" s="12"/>
      <c r="Z206" s="12"/>
      <c r="AA206" s="12"/>
      <c r="AB206" s="12"/>
      <c r="AC206" s="12"/>
      <c r="AD206" s="12"/>
    </row>
    <row r="207" spans="1:30" ht="96" customHeight="1">
      <c r="A207" s="10">
        <v>4</v>
      </c>
      <c r="B207" s="11" t="s">
        <v>348</v>
      </c>
      <c r="C207" s="6"/>
      <c r="D207" s="11" t="str">
        <f ca="1">IFERROR(__xludf.DUMMYFUNCTION("GOOGLETRANSLATE($B207,(""auto""),(""es""))"),"
Use una manga de 10 mm para quitar los pernos del soporte del tubo de aceite delantero en el círculo rojo")</f>
        <v xml:space="preserve">
Use una manga de 10 mm para quitar los pernos del soporte del tubo de aceite delantero en el círculo rojo</v>
      </c>
      <c r="E207" s="11" t="str">
        <f ca="1">IFERROR(__xludf.DUMMYFUNCTION("GOOGLETRANSLATE($B207,(""auto""),(""FR""))"),"
Utilisez un manchon de 10 mm pour retirer les boulons du support de tube d'huile avant dans le cercle rouge")</f>
        <v xml:space="preserve">
Utilisez un manchon de 10 mm pour retirer les boulons du support de tube d'huile avant dans le cercle rouge</v>
      </c>
      <c r="F207" s="11" t="str">
        <f ca="1">IFERROR(__xludf.DUMMYFUNCTION("GOOGLETRANSLATE($B207,(""auto""),(""IT""))"),"
Utilizzare una manica da 10 mm per rimuovere i bulloni della staffa del tubo dell'olio anteriore nel cerchio rosso")</f>
        <v xml:space="preserve">
Utilizzare una manica da 10 mm per rimuovere i bulloni della staffa del tubo dell'olio anteriore nel cerchio rosso</v>
      </c>
      <c r="G207" s="12"/>
      <c r="H207" s="12"/>
      <c r="I207" s="12"/>
      <c r="J207" s="12"/>
      <c r="K207" s="12"/>
      <c r="L207" s="12"/>
      <c r="M207" s="12"/>
      <c r="N207" s="12"/>
      <c r="O207" s="12"/>
      <c r="P207" s="12"/>
      <c r="Q207" s="12"/>
      <c r="R207" s="12"/>
      <c r="S207" s="12"/>
      <c r="T207" s="12"/>
      <c r="U207" s="12"/>
      <c r="V207" s="12"/>
      <c r="W207" s="12"/>
      <c r="X207" s="12"/>
      <c r="Y207" s="12"/>
      <c r="Z207" s="12"/>
      <c r="AA207" s="12"/>
      <c r="AB207" s="12"/>
      <c r="AC207" s="12"/>
      <c r="AD207" s="12"/>
    </row>
    <row r="208" spans="1:30" ht="70.5" customHeight="1">
      <c r="A208" s="10">
        <v>5</v>
      </c>
      <c r="B208" s="11" t="s">
        <v>349</v>
      </c>
      <c r="C208" s="6"/>
      <c r="D208" s="11" t="str">
        <f ca="1">IFERROR(__xludf.DUMMYFUNCTION("GOOGLETRANSLATE($B208,(""auto""),(""es""))"),"
Use una manga de 10 mm para eliminar los pernos de fijación de la submada del centro del círculo rojo")</f>
        <v xml:space="preserve">
Use una manga de 10 mm para eliminar los pernos de fijación de la submada del centro del círculo rojo</v>
      </c>
      <c r="E208" s="11" t="str">
        <f ca="1">IFERROR(__xludf.DUMMYFUNCTION("GOOGLETRANSLATE($B208,(""auto""),(""FR""))"),"
Utilisez un manchon de 10 mm pour retirer les boulons de fixation de la sous-pompe du centre du cercle rouge")</f>
        <v xml:space="preserve">
Utilisez un manchon de 10 mm pour retirer les boulons de fixation de la sous-pompe du centre du cercle rouge</v>
      </c>
      <c r="F208" s="11" t="str">
        <f ca="1">IFERROR(__xludf.DUMMYFUNCTION("GOOGLETRANSLATE($B208,(""auto""),(""IT""))"),"
Utilizzare una manica da 10 mm per rimuovere i bulloni di fissaggio della sotto-pompa del centro del cerchio rosso")</f>
        <v xml:space="preserve">
Utilizzare una manica da 10 mm per rimuovere i bulloni di fissaggio della sotto-pompa del centro del cerchio rosso</v>
      </c>
      <c r="G208" s="12"/>
      <c r="H208" s="12"/>
      <c r="I208" s="12"/>
      <c r="J208" s="12"/>
      <c r="K208" s="12"/>
      <c r="L208" s="12"/>
      <c r="M208" s="12"/>
      <c r="N208" s="12"/>
      <c r="O208" s="12"/>
      <c r="P208" s="12"/>
      <c r="Q208" s="12"/>
      <c r="R208" s="12"/>
      <c r="S208" s="12"/>
      <c r="T208" s="12"/>
      <c r="U208" s="12"/>
      <c r="V208" s="12"/>
      <c r="W208" s="12"/>
      <c r="X208" s="12"/>
      <c r="Y208" s="12"/>
      <c r="Z208" s="12"/>
      <c r="AA208" s="12"/>
      <c r="AB208" s="12"/>
      <c r="AC208" s="12"/>
      <c r="AD208" s="12"/>
    </row>
    <row r="209" spans="1:30" ht="114" customHeight="1">
      <c r="A209" s="10">
        <v>6</v>
      </c>
      <c r="B209" s="11" t="s">
        <v>350</v>
      </c>
      <c r="C209" s="6"/>
      <c r="D209" s="11" t="str">
        <f ca="1">IFERROR(__xludf.DUMMYFUNCTION("GOOGLETRANSLATE($B209,(""auto""),(""es""))"),"
Use una manga de 12 mm para desmontar los 2 pernos de fijación de los soportes de pinza delantera y trasera en el círculo rojo, y retire el conjunto de CBS")</f>
        <v xml:space="preserve">
Use una manga de 12 mm para desmontar los 2 pernos de fijación de los soportes de pinza delantera y trasera en el círculo rojo, y retire el conjunto de CBS</v>
      </c>
      <c r="E209" s="11" t="str">
        <f ca="1">IFERROR(__xludf.DUMMYFUNCTION("GOOGLETRANSLATE($B209,(""auto""),(""FR""))"),"
Utilisez un manchon de 12 mm pour démonter les 2 boulons de fixation des supports d'étrier avant et arrière dans le cercle rouge et retirez l'ensemble CBS")</f>
        <v xml:space="preserve">
Utilisez un manchon de 12 mm pour démonter les 2 boulons de fixation des supports d'étrier avant et arrière dans le cercle rouge et retirez l'ensemble CBS</v>
      </c>
      <c r="F209" s="11" t="str">
        <f ca="1">IFERROR(__xludf.DUMMYFUNCTION("GOOGLETRANSLATE($B209,(""auto""),(""IT""))"),"
Utilizzare una manica da 12 mm per smontare i 2 bulloni di fissaggio delle staffe della pinza anteriore e posteriore nel cerchio rosso e rimuovere il gruppo CBS")</f>
        <v xml:space="preserve">
Utilizzare una manica da 12 mm per smontare i 2 bulloni di fissaggio delle staffe della pinza anteriore e posteriore nel cerchio rosso e rimuovere il gruppo CBS</v>
      </c>
      <c r="G209" s="12"/>
      <c r="H209" s="12"/>
      <c r="I209" s="12"/>
      <c r="J209" s="12"/>
      <c r="K209" s="12"/>
      <c r="L209" s="12"/>
      <c r="M209" s="12"/>
      <c r="N209" s="12"/>
      <c r="O209" s="12"/>
      <c r="P209" s="12"/>
      <c r="Q209" s="12"/>
      <c r="R209" s="12"/>
      <c r="S209" s="12"/>
      <c r="T209" s="12"/>
      <c r="U209" s="12"/>
      <c r="V209" s="12"/>
      <c r="W209" s="12"/>
      <c r="X209" s="12"/>
      <c r="Y209" s="12"/>
      <c r="Z209" s="12"/>
      <c r="AA209" s="12"/>
      <c r="AB209" s="12"/>
      <c r="AC209" s="12"/>
      <c r="AD209" s="12"/>
    </row>
    <row r="210" spans="1:30" ht="26.25" customHeight="1">
      <c r="A210" s="73"/>
      <c r="B210" s="73" t="s">
        <v>351</v>
      </c>
      <c r="C210" s="73"/>
      <c r="D210" s="73" t="str">
        <f ca="1">IFERROR(__xludf.DUMMYFUNCTION("GOOGLETRANSLATE($B210,(""auto""),(""es""))"),"B28 - Fender delantero")</f>
        <v>B28 - Fender delantero</v>
      </c>
      <c r="E210" s="73" t="str">
        <f ca="1">IFERROR(__xludf.DUMMYFUNCTION("GOOGLETRANSLATE($B210,(""auto""),(""FR""))"),"B28 - Fender avant")</f>
        <v>B28 - Fender avant</v>
      </c>
      <c r="F210" s="73" t="str">
        <f ca="1">IFERROR(__xludf.DUMMYFUNCTION("GOOGLETRANSLATE($B210,(""auto""),(""IT""))"),"B28 - Fender anteriore")</f>
        <v>B28 - Fender anteriore</v>
      </c>
      <c r="G210" s="9"/>
      <c r="H210" s="9"/>
      <c r="I210" s="9"/>
      <c r="J210" s="9"/>
      <c r="K210" s="9"/>
      <c r="L210" s="9"/>
      <c r="M210" s="9"/>
      <c r="N210" s="9"/>
      <c r="O210" s="9"/>
      <c r="P210" s="9"/>
      <c r="Q210" s="9"/>
      <c r="R210" s="9"/>
      <c r="S210" s="9"/>
      <c r="T210" s="9"/>
      <c r="U210" s="9"/>
      <c r="V210" s="9"/>
      <c r="W210" s="9"/>
      <c r="X210" s="9"/>
      <c r="Y210" s="9"/>
      <c r="Z210" s="9"/>
      <c r="AA210" s="9"/>
      <c r="AB210" s="9"/>
      <c r="AC210" s="9"/>
      <c r="AD210" s="9"/>
    </row>
    <row r="211" spans="1:30">
      <c r="A211" s="69" t="s">
        <v>150</v>
      </c>
      <c r="B211" s="70" t="s">
        <v>151</v>
      </c>
      <c r="C211" s="70" t="s">
        <v>152</v>
      </c>
      <c r="D211" s="70" t="str">
        <f ca="1">IFERROR(__xludf.DUMMYFUNCTION("GOOGLETRANSLATE(B211,(""auto""),(""es""))"),"Descripción")</f>
        <v>Descripción</v>
      </c>
      <c r="E211" s="70" t="str">
        <f ca="1">IFERROR(__xludf.DUMMYFUNCTION("GOOGLETRANSLATE(B211,(""auto""),(""fr""))"),"Description")</f>
        <v>Description</v>
      </c>
      <c r="F211" s="70" t="str">
        <f ca="1">IFERROR(__xludf.DUMMYFUNCTION("GOOGLETRANSLATE(D211,(""auto""),(""IT""))"),"Descrizione")</f>
        <v>Descrizione</v>
      </c>
    </row>
    <row r="212" spans="1:30" ht="110.25" customHeight="1">
      <c r="A212" s="10">
        <v>1</v>
      </c>
      <c r="B212" s="11" t="s">
        <v>352</v>
      </c>
      <c r="C212" s="6"/>
      <c r="D212" s="11" t="str">
        <f ca="1">IFERROR(__xludf.DUMMYFUNCTION("GOOGLETRANSLATE($B212,(""auto""),(""es""))"),"
Use una tecla Allen de 5 mm para quitar los dos tornillos a la izquierda y a la derecha del círculo rojo del guardabarros delantero, y luego retire el guardabarros delantero")</f>
        <v xml:space="preserve">
Use una tecla Allen de 5 mm para quitar los dos tornillos a la izquierda y a la derecha del círculo rojo del guardabarros delantero, y luego retire el guardabarros delantero</v>
      </c>
      <c r="E212" s="11" t="str">
        <f ca="1">IFERROR(__xludf.DUMMYFUNCTION("GOOGLETRANSLATE($B212,(""auto""),(""FR""))"),"
Utilisez une touche Allen de 5 mm pour retirer les deux vis à gauche et à droite du cercle rouge de l'aile avant, puis retirez l'aile avant")</f>
        <v xml:space="preserve">
Utilisez une touche Allen de 5 mm pour retirer les deux vis à gauche et à droite du cercle rouge de l'aile avant, puis retirez l'aile avant</v>
      </c>
      <c r="F212" s="11" t="str">
        <f ca="1">IFERROR(__xludf.DUMMYFUNCTION("GOOGLETRANSLATE($B212,(""auto""),(""IT""))"),"
Utilizzare una chiave Allen da 5 mm per rimuovere le due viti a sinistra e a destra del cerchio rosso del parafango anteriore, quindi rimuovere il parafango anteriore")</f>
        <v xml:space="preserve">
Utilizzare una chiave Allen da 5 mm per rimuovere le due viti a sinistra e a destra del cerchio rosso del parafango anteriore, quindi rimuovere il parafango anteriore</v>
      </c>
      <c r="G212" s="12"/>
      <c r="H212" s="12"/>
      <c r="I212" s="12"/>
      <c r="J212" s="12"/>
      <c r="K212" s="12"/>
      <c r="L212" s="12"/>
      <c r="M212" s="12"/>
      <c r="N212" s="12"/>
      <c r="O212" s="12"/>
      <c r="P212" s="12"/>
      <c r="Q212" s="12"/>
      <c r="R212" s="12"/>
      <c r="S212" s="12"/>
      <c r="T212" s="12"/>
      <c r="U212" s="12"/>
      <c r="V212" s="12"/>
      <c r="W212" s="12"/>
      <c r="X212" s="12"/>
      <c r="Y212" s="12"/>
      <c r="Z212" s="12"/>
      <c r="AA212" s="12"/>
      <c r="AB212" s="12"/>
      <c r="AC212" s="12"/>
      <c r="AD212" s="12"/>
    </row>
    <row r="213" spans="1:30" ht="26.25" customHeight="1">
      <c r="A213" s="73"/>
      <c r="B213" s="73" t="s">
        <v>353</v>
      </c>
      <c r="C213" s="73"/>
      <c r="D213" s="73" t="str">
        <f ca="1">IFERROR(__xludf.DUMMYFUNCTION("GOOGLETRANSLATE($B213,(""auto""),(""es""))"),"B29 - Absorbador de choque trasero")</f>
        <v>B29 - Absorbador de choque trasero</v>
      </c>
      <c r="E213" s="73" t="str">
        <f ca="1">IFERROR(__xludf.DUMMYFUNCTION("GOOGLETRANSLATE($B213,(""auto""),(""FR""))"),"B29 - Agrandis arrière")</f>
        <v>B29 - Agrandis arrière</v>
      </c>
      <c r="F213" s="73" t="str">
        <f ca="1">IFERROR(__xludf.DUMMYFUNCTION("GOOGLETRANSLATE($B213,(""auto""),(""IT""))"),"B29 - Smellrormatura posteriore")</f>
        <v>B29 - Smellrormatura posteriore</v>
      </c>
      <c r="G213" s="9"/>
      <c r="H213" s="9"/>
      <c r="I213" s="9"/>
      <c r="J213" s="9"/>
      <c r="K213" s="9"/>
      <c r="L213" s="9"/>
      <c r="M213" s="9"/>
      <c r="N213" s="9"/>
      <c r="O213" s="9"/>
      <c r="P213" s="9"/>
      <c r="Q213" s="9"/>
      <c r="R213" s="9"/>
      <c r="S213" s="9"/>
      <c r="T213" s="9"/>
      <c r="U213" s="9"/>
      <c r="V213" s="9"/>
      <c r="W213" s="9"/>
      <c r="X213" s="9"/>
      <c r="Y213" s="9"/>
      <c r="Z213" s="9"/>
      <c r="AA213" s="9"/>
      <c r="AB213" s="9"/>
      <c r="AC213" s="9"/>
      <c r="AD213" s="9"/>
    </row>
    <row r="214" spans="1:30">
      <c r="A214" s="69" t="s">
        <v>145</v>
      </c>
      <c r="B214" s="70" t="s">
        <v>146</v>
      </c>
      <c r="C214" s="70" t="s">
        <v>147</v>
      </c>
      <c r="D214" s="70" t="str">
        <f ca="1">IFERROR(__xludf.DUMMYFUNCTION("GOOGLETRANSLATE(B214,(""auto""),(""es""))"),"Preparación:")</f>
        <v>Preparación:</v>
      </c>
      <c r="E214" s="70" t="str">
        <f ca="1">IFERROR(__xludf.DUMMYFUNCTION("GOOGLETRANSLATE(B214,(""auto""),(""fr""))"),"Préparation:")</f>
        <v>Préparation:</v>
      </c>
      <c r="F214" s="70" t="str">
        <f ca="1">IFERROR(__xludf.DUMMYFUNCTION("GOOGLETRANSLATE(D214,(""auto""),(""IT""))"),"Preparazione:")</f>
        <v>Preparazione:</v>
      </c>
    </row>
    <row r="215" spans="1:30">
      <c r="A215" s="10">
        <v>1</v>
      </c>
      <c r="B215" s="11" t="s">
        <v>354</v>
      </c>
      <c r="C215" s="6"/>
      <c r="D215" s="11" t="str">
        <f ca="1">IFERROR(__xludf.DUMMYFUNCTION("GOOGLETRANSLATE($B215,(""auto""),(""es""))"),"Saca la cubierta trasera del basculante - B22")</f>
        <v>Saca la cubierta trasera del basculante - B22</v>
      </c>
      <c r="E215" s="11" t="str">
        <f ca="1">IFERROR(__xludf.DUMMYFUNCTION("GOOGLETRANSLATE($B215,(""auto""),(""FR""))"),"Sortez le couvercle du bras oscillant arrière - B22")</f>
        <v>Sortez le couvercle du bras oscillant arrière - B22</v>
      </c>
      <c r="F215" s="11" t="str">
        <f ca="1">IFERROR(__xludf.DUMMYFUNCTION("GOOGLETRANSLATE($B215,(""auto""),(""IT""))"),"Elimina il coperchio del forcellone posteriore - B22")</f>
        <v>Elimina il coperchio del forcellone posteriore - B22</v>
      </c>
      <c r="G215" s="12"/>
      <c r="H215" s="12"/>
      <c r="I215" s="12"/>
      <c r="J215" s="12"/>
      <c r="K215" s="12"/>
      <c r="L215" s="12"/>
      <c r="M215" s="12"/>
      <c r="N215" s="12"/>
      <c r="O215" s="12"/>
      <c r="P215" s="12"/>
      <c r="Q215" s="12"/>
      <c r="R215" s="12"/>
      <c r="S215" s="12"/>
      <c r="T215" s="12"/>
      <c r="U215" s="12"/>
      <c r="V215" s="12"/>
      <c r="W215" s="12"/>
      <c r="X215" s="12"/>
      <c r="Y215" s="12"/>
      <c r="Z215" s="12"/>
      <c r="AA215" s="12"/>
      <c r="AB215" s="12"/>
      <c r="AC215" s="12"/>
      <c r="AD215" s="12"/>
    </row>
    <row r="216" spans="1:30">
      <c r="A216" s="69" t="s">
        <v>150</v>
      </c>
      <c r="B216" s="70" t="s">
        <v>151</v>
      </c>
      <c r="C216" s="70" t="s">
        <v>152</v>
      </c>
      <c r="D216" s="70" t="str">
        <f ca="1">IFERROR(__xludf.DUMMYFUNCTION("GOOGLETRANSLATE(B216,(""auto""),(""es""))"),"Descripción")</f>
        <v>Descripción</v>
      </c>
      <c r="E216" s="70" t="str">
        <f ca="1">IFERROR(__xludf.DUMMYFUNCTION("GOOGLETRANSLATE(B216,(""auto""),(""fr""))"),"Description")</f>
        <v>Description</v>
      </c>
      <c r="F216" s="70" t="str">
        <f ca="1">IFERROR(__xludf.DUMMYFUNCTION("GOOGLETRANSLATE(D216,(""auto""),(""IT""))"),"Descrizione")</f>
        <v>Descrizione</v>
      </c>
    </row>
    <row r="217" spans="1:30" ht="96.75" customHeight="1">
      <c r="A217" s="10">
        <v>1</v>
      </c>
      <c r="B217" s="11" t="s">
        <v>355</v>
      </c>
      <c r="C217" s="6"/>
      <c r="D217" s="11" t="str">
        <f ca="1">IFERROR(__xludf.DUMMYFUNCTION("GOOGLETRANSLATE($B217,(""auto""),(""es""))"),"
Use una llave de enchufe de 14 mm para eliminar los 2 pernos en el círculo rojo y elimine el amortiguador trasero.")</f>
        <v xml:space="preserve">
Use una llave de enchufe de 14 mm para eliminar los 2 pernos en el círculo rojo y elimine el amortiguador trasero.</v>
      </c>
      <c r="E217" s="11" t="str">
        <f ca="1">IFERROR(__xludf.DUMMYFUNCTION("GOOGLETRANSLATE($B217,(""auto""),(""FR""))"),"
Utilisez une clé à douille de 14 mm pour retirer les 2 boulons dans le cercle rouge et retirer l'amortisseur arrière.")</f>
        <v xml:space="preserve">
Utilisez une clé à douille de 14 mm pour retirer les 2 boulons dans le cercle rouge et retirer l'amortisseur arrière.</v>
      </c>
      <c r="F217" s="11" t="str">
        <f ca="1">IFERROR(__xludf.DUMMYFUNCTION("GOOGLETRANSLATE($B217,(""auto""),(""IT""))"),"
Utilizzare una chiave a presa da 14 mm per rimuovere i 2 bulloni nel cerchio rosso ed eliminare l'assorbitore di shock posteriore.")</f>
        <v xml:space="preserve">
Utilizzare una chiave a presa da 14 mm per rimuovere i 2 bulloni nel cerchio rosso ed eliminare l'assorbitore di shock posteriore.</v>
      </c>
      <c r="G217" s="12"/>
      <c r="H217" s="12"/>
      <c r="I217" s="12"/>
      <c r="J217" s="12"/>
      <c r="K217" s="12"/>
      <c r="L217" s="12"/>
      <c r="M217" s="12"/>
      <c r="N217" s="12"/>
      <c r="O217" s="12"/>
      <c r="P217" s="12"/>
      <c r="Q217" s="12"/>
      <c r="R217" s="12"/>
      <c r="S217" s="12"/>
      <c r="T217" s="12"/>
      <c r="U217" s="12"/>
      <c r="V217" s="12"/>
      <c r="W217" s="12"/>
      <c r="X217" s="12"/>
      <c r="Y217" s="12"/>
      <c r="Z217" s="12"/>
      <c r="AA217" s="12"/>
      <c r="AB217" s="12"/>
      <c r="AC217" s="12"/>
      <c r="AD217" s="12"/>
    </row>
    <row r="218" spans="1:30">
      <c r="A218" s="73"/>
      <c r="B218" s="73" t="s">
        <v>356</v>
      </c>
      <c r="C218" s="73"/>
      <c r="D218" s="73" t="str">
        <f ca="1">IFERROR(__xludf.DUMMYFUNCTION("GOOGLETRANSLATE($B218,(""auto""),(""es""))"),"B30 - Fender trasero")</f>
        <v>B30 - Fender trasero</v>
      </c>
      <c r="E218" s="73" t="str">
        <f ca="1">IFERROR(__xludf.DUMMYFUNCTION("GOOGLETRANSLATE($B218,(""auto""),(""FR""))"),"B30 - Fender arrière")</f>
        <v>B30 - Fender arrière</v>
      </c>
      <c r="F218" s="73" t="str">
        <f ca="1">IFERROR(__xludf.DUMMYFUNCTION("GOOGLETRANSLATE($B218,(""auto""),(""IT""))"),"B30 - Fender posteriore")</f>
        <v>B30 - Fender posteriore</v>
      </c>
      <c r="G218" s="9"/>
      <c r="H218" s="9"/>
      <c r="I218" s="9"/>
      <c r="J218" s="9"/>
      <c r="K218" s="9"/>
      <c r="L218" s="9"/>
      <c r="M218" s="9"/>
      <c r="N218" s="9"/>
      <c r="O218" s="9"/>
      <c r="P218" s="9"/>
      <c r="Q218" s="9"/>
      <c r="R218" s="9"/>
      <c r="S218" s="9"/>
      <c r="T218" s="9"/>
      <c r="U218" s="9"/>
      <c r="V218" s="9"/>
      <c r="W218" s="9"/>
      <c r="X218" s="9"/>
      <c r="Y218" s="9"/>
      <c r="Z218" s="9"/>
      <c r="AA218" s="9"/>
      <c r="AB218" s="9"/>
      <c r="AC218" s="9"/>
      <c r="AD218" s="9"/>
    </row>
    <row r="219" spans="1:30">
      <c r="A219" s="69" t="s">
        <v>145</v>
      </c>
      <c r="B219" s="70" t="s">
        <v>146</v>
      </c>
      <c r="C219" s="70" t="s">
        <v>147</v>
      </c>
      <c r="D219" s="70" t="str">
        <f ca="1">IFERROR(__xludf.DUMMYFUNCTION("GOOGLETRANSLATE(B219,(""auto""),(""es""))"),"Preparación:")</f>
        <v>Preparación:</v>
      </c>
      <c r="E219" s="70" t="str">
        <f ca="1">IFERROR(__xludf.DUMMYFUNCTION("GOOGLETRANSLATE(B219,(""auto""),(""fr""))"),"Préparation:")</f>
        <v>Préparation:</v>
      </c>
      <c r="F219" s="70" t="str">
        <f ca="1">IFERROR(__xludf.DUMMYFUNCTION("GOOGLETRANSLATE(D219,(""auto""),(""IT""))"),"Preparazione:")</f>
        <v>Preparazione:</v>
      </c>
    </row>
    <row r="220" spans="1:30" ht="26.25" customHeight="1">
      <c r="A220" s="10">
        <v>1</v>
      </c>
      <c r="B220" s="11" t="s">
        <v>357</v>
      </c>
      <c r="C220" s="6"/>
      <c r="D220" s="11" t="str">
        <f ca="1">IFERROR(__xludf.DUMMYFUNCTION("GOOGLETRANSLATE($B220,(""auto""),(""es""))"),"Retire la cubierta trasera trasera - B22")</f>
        <v>Retire la cubierta trasera trasera - B22</v>
      </c>
      <c r="E220" s="11" t="str">
        <f ca="1">IFERROR(__xludf.DUMMYFUNCTION("GOOGLETRANSLATE($B220,(""auto""),(""FR""))"),"Retirez le couvercle du bras oscillant arrière - B22")</f>
        <v>Retirez le couvercle du bras oscillant arrière - B22</v>
      </c>
      <c r="F220" s="11" t="str">
        <f ca="1">IFERROR(__xludf.DUMMYFUNCTION("GOOGLETRANSLATE($B220,(""auto""),(""IT""))"),"Rimuovere il coperchio del forcellone posteriore - B22")</f>
        <v>Rimuovere il coperchio del forcellone posteriore - B22</v>
      </c>
      <c r="G220" s="12"/>
      <c r="H220" s="12"/>
      <c r="I220" s="12"/>
      <c r="J220" s="12"/>
      <c r="K220" s="12"/>
      <c r="L220" s="12"/>
      <c r="M220" s="12"/>
      <c r="N220" s="12"/>
      <c r="O220" s="12"/>
      <c r="P220" s="12"/>
      <c r="Q220" s="12"/>
      <c r="R220" s="12"/>
      <c r="S220" s="12"/>
      <c r="T220" s="12"/>
      <c r="U220" s="12"/>
      <c r="V220" s="12"/>
      <c r="W220" s="12"/>
      <c r="X220" s="12"/>
      <c r="Y220" s="12"/>
      <c r="Z220" s="12"/>
      <c r="AA220" s="12"/>
      <c r="AB220" s="12"/>
      <c r="AC220" s="12"/>
      <c r="AD220" s="12"/>
    </row>
    <row r="221" spans="1:30">
      <c r="A221" s="69" t="s">
        <v>150</v>
      </c>
      <c r="B221" s="70" t="s">
        <v>151</v>
      </c>
      <c r="C221" s="70" t="s">
        <v>152</v>
      </c>
      <c r="D221" s="70" t="str">
        <f ca="1">IFERROR(__xludf.DUMMYFUNCTION("GOOGLETRANSLATE(B221,(""auto""),(""es""))"),"Descripción")</f>
        <v>Descripción</v>
      </c>
      <c r="E221" s="70" t="str">
        <f ca="1">IFERROR(__xludf.DUMMYFUNCTION("GOOGLETRANSLATE(B221,(""auto""),(""fr""))"),"Description")</f>
        <v>Description</v>
      </c>
      <c r="F221" s="70" t="str">
        <f ca="1">IFERROR(__xludf.DUMMYFUNCTION("GOOGLETRANSLATE(D221,(""auto""),(""IT""))"),"Descrizione")</f>
        <v>Descrizione</v>
      </c>
    </row>
    <row r="222" spans="1:30" ht="78.75" customHeight="1">
      <c r="A222" s="10">
        <v>1</v>
      </c>
      <c r="B222" s="11" t="s">
        <v>358</v>
      </c>
      <c r="C222" s="6"/>
      <c r="D222" s="11" t="str">
        <f ca="1">IFERROR(__xludf.DUMMYFUNCTION("GOOGLETRANSLATE($B222,(""auto""),(""es""))"),"Use una llave Allen de 5 mm para quitar los dos tornillos en la parte delantera del guardabarros trasero.")</f>
        <v>Use una llave Allen de 5 mm para quitar los dos tornillos en la parte delantera del guardabarros trasero.</v>
      </c>
      <c r="E222" s="11" t="str">
        <f ca="1">IFERROR(__xludf.DUMMYFUNCTION("GOOGLETRANSLATE($B222,(""auto""),(""FR""))"),"Utilisez une clé Allen de 5 mm pour retirer les deux vis sur la partie avant de la garde-boue arrière.")</f>
        <v>Utilisez une clé Allen de 5 mm pour retirer les deux vis sur la partie avant de la garde-boue arrière.</v>
      </c>
      <c r="F222" s="11" t="str">
        <f ca="1">IFERROR(__xludf.DUMMYFUNCTION("GOOGLETRANSLATE($B222,(""auto""),(""IT""))"),"Utilizzare una chiave Allen da 5 mm per rimuovere le due viti nella parte anteriore del parafango posteriore.")</f>
        <v>Utilizzare una chiave Allen da 5 mm per rimuovere le due viti nella parte anteriore del parafango posteriore.</v>
      </c>
      <c r="G222" s="12"/>
      <c r="H222" s="12"/>
      <c r="I222" s="12"/>
      <c r="J222" s="12"/>
      <c r="K222" s="12"/>
      <c r="L222" s="12"/>
      <c r="M222" s="12"/>
      <c r="N222" s="12"/>
      <c r="O222" s="12"/>
      <c r="P222" s="12"/>
      <c r="Q222" s="12"/>
      <c r="R222" s="12"/>
      <c r="S222" s="12"/>
      <c r="T222" s="12"/>
      <c r="U222" s="12"/>
      <c r="V222" s="12"/>
      <c r="W222" s="12"/>
      <c r="X222" s="12"/>
      <c r="Y222" s="12"/>
      <c r="Z222" s="12"/>
      <c r="AA222" s="12"/>
      <c r="AB222" s="12"/>
      <c r="AC222" s="12"/>
      <c r="AD222" s="12"/>
    </row>
    <row r="223" spans="1:30" ht="93.75" customHeight="1">
      <c r="A223" s="10">
        <v>2</v>
      </c>
      <c r="B223" s="11" t="s">
        <v>359</v>
      </c>
      <c r="C223" s="6"/>
      <c r="D223" s="11" t="str">
        <f ca="1">IFERROR(__xludf.DUMMYFUNCTION("GOOGLETRANSLATE($B223,(""auto""),(""es""))"),"Use una manga de 10 mm para eliminar los dos pernos, saque el soporte de guardabarros.")</f>
        <v>Use una manga de 10 mm para eliminar los dos pernos, saque el soporte de guardabarros.</v>
      </c>
      <c r="E223" s="11" t="str">
        <f ca="1">IFERROR(__xludf.DUMMYFUNCTION("GOOGLETRANSLATE($B223,(""auto""),(""FR""))"),"Utilisez un manchon de 10 mm pour retirer les deux boulons, retirez le support d'ailes.")</f>
        <v>Utilisez un manchon de 10 mm pour retirer les deux boulons, retirez le support d'ailes.</v>
      </c>
      <c r="F223" s="11" t="str">
        <f ca="1">IFERROR(__xludf.DUMMYFUNCTION("GOOGLETRANSLATE($B223,(""auto""),(""IT""))"),"Usa una manica da 10 mm per rimuovere i due bulloni, estrarre la staffa del parafango.")</f>
        <v>Usa una manica da 10 mm per rimuovere i due bulloni, estrarre la staffa del parafango.</v>
      </c>
      <c r="G223" s="12"/>
      <c r="H223" s="12"/>
      <c r="I223" s="12"/>
      <c r="J223" s="12"/>
      <c r="K223" s="12"/>
      <c r="L223" s="12"/>
      <c r="M223" s="12"/>
      <c r="N223" s="12"/>
      <c r="O223" s="12"/>
      <c r="P223" s="12"/>
      <c r="Q223" s="12"/>
      <c r="R223" s="12"/>
      <c r="S223" s="12"/>
      <c r="T223" s="12"/>
      <c r="U223" s="12"/>
      <c r="V223" s="12"/>
      <c r="W223" s="12"/>
      <c r="X223" s="12"/>
      <c r="Y223" s="12"/>
      <c r="Z223" s="12"/>
      <c r="AA223" s="12"/>
      <c r="AB223" s="12"/>
      <c r="AC223" s="12"/>
      <c r="AD223" s="12"/>
    </row>
    <row r="224" spans="1:30" ht="93.75" customHeight="1">
      <c r="A224" s="10">
        <v>3</v>
      </c>
      <c r="B224" s="11" t="s">
        <v>360</v>
      </c>
      <c r="C224" s="6"/>
      <c r="D224" s="11" t="str">
        <f ca="1">IFERROR(__xludf.DUMMYFUNCTION("GOOGLETRANSLATE($B224,(""auto""),(""es""))"),"Use una llave Allen de 5 mm para eliminar los tres tornillos en la parte delantera del guardabarros trasero, elimine el guardabarros trasero.")</f>
        <v>Use una llave Allen de 5 mm para eliminar los tres tornillos en la parte delantera del guardabarros trasero, elimine el guardabarros trasero.</v>
      </c>
      <c r="E224" s="11" t="str">
        <f ca="1">IFERROR(__xludf.DUMMYFUNCTION("GOOGLETRANSLATE($B224,(""auto""),(""FR""))"),"Utilisez une clé Allen de 5 mm pour retirer les trois vis de la partie avant de la garde-boue arrière, retirez l'aile arrière.")</f>
        <v>Utilisez une clé Allen de 5 mm pour retirer les trois vis de la partie avant de la garde-boue arrière, retirez l'aile arrière.</v>
      </c>
      <c r="F224" s="11" t="str">
        <f ca="1">IFERROR(__xludf.DUMMYFUNCTION("GOOGLETRANSLATE($B224,(""auto""),(""IT""))"),"Utilizzare una chiave Allen da 5 mm per rimuovere le tre viti nella parte anteriore del parafango posteriore, eliminare il parafango posteriore.")</f>
        <v>Utilizzare una chiave Allen da 5 mm per rimuovere le tre viti nella parte anteriore del parafango posteriore, eliminare il parafango posteriore.</v>
      </c>
      <c r="G224" s="12"/>
      <c r="H224" s="12"/>
      <c r="I224" s="12"/>
      <c r="J224" s="12"/>
      <c r="K224" s="12"/>
      <c r="L224" s="12"/>
      <c r="M224" s="12"/>
      <c r="N224" s="12"/>
      <c r="O224" s="12"/>
      <c r="P224" s="12"/>
      <c r="Q224" s="12"/>
      <c r="R224" s="12"/>
      <c r="S224" s="12"/>
      <c r="T224" s="12"/>
      <c r="U224" s="12"/>
      <c r="V224" s="12"/>
      <c r="W224" s="12"/>
      <c r="X224" s="12"/>
      <c r="Y224" s="12"/>
      <c r="Z224" s="12"/>
      <c r="AA224" s="12"/>
      <c r="AB224" s="12"/>
      <c r="AC224" s="12"/>
      <c r="AD224" s="12"/>
    </row>
    <row r="225" spans="1:30" ht="26.25" customHeight="1">
      <c r="A225" s="73"/>
      <c r="B225" s="73" t="s">
        <v>361</v>
      </c>
      <c r="C225" s="73"/>
      <c r="D225" s="73" t="str">
        <f ca="1">IFERROR(__xludf.DUMMYFUNCTION("GOOGLETRANSLATE($B225,(""auto""),(""es""))"),"B31 - Soporte de guardabarros traseros")</f>
        <v>B31 - Soporte de guardabarros traseros</v>
      </c>
      <c r="E225" s="73" t="str">
        <f ca="1">IFERROR(__xludf.DUMMYFUNCTION("GOOGLETRANSLATE($B225,(""auto""),(""FR""))"),"B31 - support de garde-boue arrière")</f>
        <v>B31 - support de garde-boue arrière</v>
      </c>
      <c r="F225" s="73" t="str">
        <f ca="1">IFERROR(__xludf.DUMMYFUNCTION("GOOGLETRANSLATE($B225,(""auto""),(""IT""))"),"B31 - Banca del parafango posteriore")</f>
        <v>B31 - Banca del parafango posteriore</v>
      </c>
      <c r="G225" s="9"/>
      <c r="H225" s="9"/>
      <c r="I225" s="9"/>
      <c r="J225" s="9"/>
      <c r="K225" s="9"/>
      <c r="L225" s="9"/>
      <c r="M225" s="9"/>
      <c r="N225" s="9"/>
      <c r="O225" s="9"/>
      <c r="P225" s="9"/>
      <c r="Q225" s="9"/>
      <c r="R225" s="9"/>
      <c r="S225" s="9"/>
      <c r="T225" s="9"/>
      <c r="U225" s="9"/>
      <c r="V225" s="9"/>
      <c r="W225" s="9"/>
      <c r="X225" s="9"/>
      <c r="Y225" s="9"/>
      <c r="Z225" s="9"/>
      <c r="AA225" s="9"/>
      <c r="AB225" s="9"/>
      <c r="AC225" s="9"/>
      <c r="AD225" s="9"/>
    </row>
    <row r="226" spans="1:30">
      <c r="A226" s="69" t="s">
        <v>145</v>
      </c>
      <c r="B226" s="70" t="s">
        <v>146</v>
      </c>
      <c r="C226" s="70" t="s">
        <v>147</v>
      </c>
      <c r="D226" s="70" t="str">
        <f ca="1">IFERROR(__xludf.DUMMYFUNCTION("GOOGLETRANSLATE(B226,(""auto""),(""es""))"),"Preparación:")</f>
        <v>Preparación:</v>
      </c>
      <c r="E226" s="70" t="str">
        <f ca="1">IFERROR(__xludf.DUMMYFUNCTION("GOOGLETRANSLATE(B226,(""auto""),(""fr""))"),"Préparation:")</f>
        <v>Préparation:</v>
      </c>
      <c r="F226" s="70" t="str">
        <f ca="1">IFERROR(__xludf.DUMMYFUNCTION("GOOGLETRANSLATE(D226,(""auto""),(""IT""))"),"Preparazione:")</f>
        <v>Preparazione:</v>
      </c>
    </row>
    <row r="227" spans="1:30">
      <c r="A227" s="10">
        <v>1</v>
      </c>
      <c r="B227" s="11" t="s">
        <v>357</v>
      </c>
      <c r="C227" s="6"/>
      <c r="D227" s="11" t="str">
        <f ca="1">IFERROR(__xludf.DUMMYFUNCTION("GOOGLETRANSLATE($B227,(""auto""),(""es""))"),"Retire la cubierta trasera trasera - B22")</f>
        <v>Retire la cubierta trasera trasera - B22</v>
      </c>
      <c r="E227" s="11" t="str">
        <f ca="1">IFERROR(__xludf.DUMMYFUNCTION("GOOGLETRANSLATE($B227,(""auto""),(""FR""))"),"Retirez le couvercle du bras oscillant arrière - B22")</f>
        <v>Retirez le couvercle du bras oscillant arrière - B22</v>
      </c>
      <c r="F227" s="11" t="str">
        <f ca="1">IFERROR(__xludf.DUMMYFUNCTION("GOOGLETRANSLATE($B227,(""auto""),(""IT""))"),"Rimuovere il coperchio del forcellone posteriore - B22")</f>
        <v>Rimuovere il coperchio del forcellone posteriore - B22</v>
      </c>
      <c r="G227" s="12"/>
      <c r="H227" s="12"/>
      <c r="I227" s="12"/>
      <c r="J227" s="12"/>
      <c r="K227" s="12"/>
      <c r="L227" s="12"/>
      <c r="M227" s="12"/>
      <c r="N227" s="12"/>
      <c r="O227" s="12"/>
      <c r="P227" s="12"/>
      <c r="Q227" s="12"/>
      <c r="R227" s="12"/>
      <c r="S227" s="12"/>
      <c r="T227" s="12"/>
      <c r="U227" s="12"/>
      <c r="V227" s="12"/>
      <c r="W227" s="12"/>
      <c r="X227" s="12"/>
      <c r="Y227" s="12"/>
      <c r="Z227" s="12"/>
      <c r="AA227" s="12"/>
      <c r="AB227" s="12"/>
      <c r="AC227" s="12"/>
      <c r="AD227" s="12"/>
    </row>
    <row r="228" spans="1:30">
      <c r="A228" s="69" t="s">
        <v>150</v>
      </c>
      <c r="B228" s="70" t="s">
        <v>151</v>
      </c>
      <c r="C228" s="70" t="s">
        <v>152</v>
      </c>
      <c r="D228" s="70" t="str">
        <f ca="1">IFERROR(__xludf.DUMMYFUNCTION("GOOGLETRANSLATE(B228,(""auto""),(""es""))"),"Descripción")</f>
        <v>Descripción</v>
      </c>
      <c r="E228" s="70" t="str">
        <f ca="1">IFERROR(__xludf.DUMMYFUNCTION("GOOGLETRANSLATE(B228,(""auto""),(""fr""))"),"Description")</f>
        <v>Description</v>
      </c>
      <c r="F228" s="70" t="str">
        <f ca="1">IFERROR(__xludf.DUMMYFUNCTION("GOOGLETRANSLATE(D228,(""auto""),(""IT""))"),"Descrizione")</f>
        <v>Descrizione</v>
      </c>
    </row>
    <row r="229" spans="1:30" ht="113.25" customHeight="1">
      <c r="A229" s="10">
        <v>1</v>
      </c>
      <c r="B229" s="11" t="s">
        <v>360</v>
      </c>
      <c r="C229" s="6"/>
      <c r="D229" s="11" t="str">
        <f ca="1">IFERROR(__xludf.DUMMYFUNCTION("GOOGLETRANSLATE($B229,(""auto""),(""es""))"),"Use una llave Allen de 5 mm para eliminar los tres tornillos en la parte delantera del guardabarros trasero, elimine el guardabarros trasero.")</f>
        <v>Use una llave Allen de 5 mm para eliminar los tres tornillos en la parte delantera del guardabarros trasero, elimine el guardabarros trasero.</v>
      </c>
      <c r="E229" s="11" t="str">
        <f ca="1">IFERROR(__xludf.DUMMYFUNCTION("GOOGLETRANSLATE($B229,(""auto""),(""FR""))"),"Utilisez une clé Allen de 5 mm pour retirer les trois vis de la partie avant de la garde-boue arrière, retirez l'aile arrière.")</f>
        <v>Utilisez une clé Allen de 5 mm pour retirer les trois vis de la partie avant de la garde-boue arrière, retirez l'aile arrière.</v>
      </c>
      <c r="F229" s="11" t="str">
        <f ca="1">IFERROR(__xludf.DUMMYFUNCTION("GOOGLETRANSLATE($B229,(""auto""),(""IT""))"),"Utilizzare una chiave Allen da 5 mm per rimuovere le tre viti nella parte anteriore del parafango posteriore, eliminare il parafango posteriore.")</f>
        <v>Utilizzare una chiave Allen da 5 mm per rimuovere le tre viti nella parte anteriore del parafango posteriore, eliminare il parafango posteriore.</v>
      </c>
      <c r="G229" s="12"/>
      <c r="H229" s="12"/>
      <c r="I229" s="12"/>
      <c r="J229" s="12"/>
      <c r="K229" s="12"/>
      <c r="L229" s="12"/>
      <c r="M229" s="12"/>
      <c r="N229" s="12"/>
      <c r="O229" s="12"/>
      <c r="P229" s="12"/>
      <c r="Q229" s="12"/>
      <c r="R229" s="12"/>
      <c r="S229" s="12"/>
      <c r="T229" s="12"/>
      <c r="U229" s="12"/>
      <c r="V229" s="12"/>
      <c r="W229" s="12"/>
      <c r="X229" s="12"/>
      <c r="Y229" s="12"/>
      <c r="Z229" s="12"/>
      <c r="AA229" s="12"/>
      <c r="AB229" s="12"/>
      <c r="AC229" s="12"/>
      <c r="AD229" s="12"/>
    </row>
    <row r="230" spans="1:30" ht="96" customHeight="1">
      <c r="A230" s="10">
        <v>2</v>
      </c>
      <c r="B230" s="11" t="s">
        <v>362</v>
      </c>
      <c r="C230" s="6"/>
      <c r="D230" s="11" t="str">
        <f ca="1">IFERROR(__xludf.DUMMYFUNCTION("GOOGLETRANSLATE($B230,(""auto""),(""es""))"),"Use una manga de 10 mm para eliminar los dos pernos, elimine el soporte del guardabarros trasero.")</f>
        <v>Use una manga de 10 mm para eliminar los dos pernos, elimine el soporte del guardabarros trasero.</v>
      </c>
      <c r="E230" s="11" t="str">
        <f ca="1">IFERROR(__xludf.DUMMYFUNCTION("GOOGLETRANSLATE($B230,(""auto""),(""FR""))"),"Utilisez un manchon de 10 mm pour retirer les deux boulons, retirez le support de garde-boue arrière.")</f>
        <v>Utilisez un manchon de 10 mm pour retirer les deux boulons, retirez le support de garde-boue arrière.</v>
      </c>
      <c r="F230" s="11" t="str">
        <f ca="1">IFERROR(__xludf.DUMMYFUNCTION("GOOGLETRANSLATE($B230,(""auto""),(""IT""))"),"Utilizzare una manica da 10 mm per rimuovere i due bulloni, estrarre la staffa del parafango posteriore.")</f>
        <v>Utilizzare una manica da 10 mm per rimuovere i due bulloni, estrarre la staffa del parafango posteriore.</v>
      </c>
      <c r="G230" s="12"/>
      <c r="H230" s="12"/>
      <c r="I230" s="12"/>
      <c r="J230" s="12"/>
      <c r="K230" s="12"/>
      <c r="L230" s="12"/>
      <c r="M230" s="12"/>
      <c r="N230" s="12"/>
      <c r="O230" s="12"/>
      <c r="P230" s="12"/>
      <c r="Q230" s="12"/>
      <c r="R230" s="12"/>
      <c r="S230" s="12"/>
      <c r="T230" s="12"/>
      <c r="U230" s="12"/>
      <c r="V230" s="12"/>
      <c r="W230" s="12"/>
      <c r="X230" s="12"/>
      <c r="Y230" s="12"/>
      <c r="Z230" s="12"/>
      <c r="AA230" s="12"/>
      <c r="AB230" s="12"/>
      <c r="AC230" s="12"/>
      <c r="AD230" s="12"/>
    </row>
    <row r="231" spans="1:30" ht="26.25" customHeight="1">
      <c r="A231" s="73"/>
      <c r="B231" s="73" t="s">
        <v>363</v>
      </c>
      <c r="C231" s="6"/>
      <c r="D231" s="73" t="str">
        <f ca="1">IFERROR(__xludf.DUMMYFUNCTION("GOOGLETRANSLATE($B231,(""auto""),(""es""))"),"B32 - Assy de rueda trasera")</f>
        <v>B32 - Assy de rueda trasera</v>
      </c>
      <c r="E231" s="73" t="str">
        <f ca="1">IFERROR(__xludf.DUMMYFUNCTION("GOOGLETRANSLATE($B231,(""auto""),(""FR""))"),"B32 - Assy de roue arrière")</f>
        <v>B32 - Assy de roue arrière</v>
      </c>
      <c r="F231" s="73" t="str">
        <f ca="1">IFERROR(__xludf.DUMMYFUNCTION("GOOGLETRANSLATE($B231,(""auto""),(""IT""))"),"B32 - Assy della ruota posteriore")</f>
        <v>B32 - Assy della ruota posteriore</v>
      </c>
      <c r="G231" s="9"/>
      <c r="H231" s="9"/>
      <c r="I231" s="9"/>
      <c r="J231" s="9"/>
      <c r="K231" s="9"/>
      <c r="L231" s="9"/>
      <c r="M231" s="9"/>
      <c r="N231" s="9"/>
      <c r="O231" s="9"/>
      <c r="P231" s="9"/>
      <c r="Q231" s="9"/>
      <c r="R231" s="9"/>
      <c r="S231" s="9"/>
      <c r="T231" s="9"/>
      <c r="U231" s="9"/>
      <c r="V231" s="9"/>
      <c r="W231" s="9"/>
      <c r="X231" s="9"/>
      <c r="Y231" s="9"/>
      <c r="Z231" s="9"/>
      <c r="AA231" s="9"/>
      <c r="AB231" s="9"/>
      <c r="AC231" s="9"/>
      <c r="AD231" s="9"/>
    </row>
    <row r="232" spans="1:30">
      <c r="A232" s="69" t="s">
        <v>145</v>
      </c>
      <c r="B232" s="70" t="s">
        <v>146</v>
      </c>
      <c r="C232" s="6"/>
      <c r="D232" s="70" t="str">
        <f ca="1">IFERROR(__xludf.DUMMYFUNCTION("GOOGLETRANSLATE(B232,(""auto""),(""es""))"),"Preparación:")</f>
        <v>Preparación:</v>
      </c>
      <c r="E232" s="70" t="str">
        <f ca="1">IFERROR(__xludf.DUMMYFUNCTION("GOOGLETRANSLATE(B232,(""auto""),(""fr""))"),"Préparation:")</f>
        <v>Préparation:</v>
      </c>
      <c r="F232" s="70" t="str">
        <f ca="1">IFERROR(__xludf.DUMMYFUNCTION("GOOGLETRANSLATE(D232,(""auto""),(""IT""))"),"Preparazione:")</f>
        <v>Preparazione:</v>
      </c>
    </row>
    <row r="233" spans="1:30">
      <c r="A233" s="10">
        <v>1</v>
      </c>
      <c r="B233" s="11" t="s">
        <v>364</v>
      </c>
      <c r="C233" s="6"/>
      <c r="D233" s="11" t="str">
        <f ca="1">IFERROR(__xludf.DUMMYFUNCTION("GOOGLETRANSLATE($B233,(""auto""),(""es""))"),"Retire la cubierta del swingm trasero - B22")</f>
        <v>Retire la cubierta del swingm trasero - B22</v>
      </c>
      <c r="E233" s="11" t="str">
        <f ca="1">IFERROR(__xludf.DUMMYFUNCTION("GOOGLETRANSLATE($B233,(""auto""),(""FR""))"),"Retirez le couvercle du bras oscillant arrière - B22")</f>
        <v>Retirez le couvercle du bras oscillant arrière - B22</v>
      </c>
      <c r="F233" s="11" t="str">
        <f ca="1">IFERROR(__xludf.DUMMYFUNCTION("GOOGLETRANSLATE($B233,(""auto""),(""IT""))"),"Rimuovere il coperchio del forcellone posteriore - B22")</f>
        <v>Rimuovere il coperchio del forcellone posteriore - B22</v>
      </c>
      <c r="G233" s="12"/>
      <c r="H233" s="12"/>
      <c r="I233" s="12"/>
      <c r="J233" s="12"/>
      <c r="K233" s="12"/>
      <c r="L233" s="12"/>
      <c r="M233" s="12"/>
      <c r="N233" s="12"/>
      <c r="O233" s="12"/>
      <c r="P233" s="12"/>
      <c r="Q233" s="12"/>
      <c r="R233" s="12"/>
      <c r="S233" s="12"/>
      <c r="T233" s="12"/>
      <c r="U233" s="12"/>
      <c r="V233" s="12"/>
      <c r="W233" s="12"/>
      <c r="X233" s="12"/>
      <c r="Y233" s="12"/>
      <c r="Z233" s="12"/>
      <c r="AA233" s="12"/>
      <c r="AB233" s="12"/>
      <c r="AC233" s="12"/>
      <c r="AD233" s="12"/>
    </row>
    <row r="234" spans="1:30">
      <c r="A234" s="10">
        <v>2</v>
      </c>
      <c r="B234" s="11" t="s">
        <v>365</v>
      </c>
      <c r="C234" s="6"/>
      <c r="D234" s="11" t="str">
        <f ca="1">IFERROR(__xludf.DUMMYFUNCTION("GOOGLETRANSLATE($B234,(""auto""),(""es""))"),"Retire el guardabarros trasero - B30")</f>
        <v>Retire el guardabarros trasero - B30</v>
      </c>
      <c r="E234" s="11" t="str">
        <f ca="1">IFERROR(__xludf.DUMMYFUNCTION("GOOGLETRANSLATE($B234,(""auto""),(""FR""))"),"Retirez le garde-boue arrière - B30")</f>
        <v>Retirez le garde-boue arrière - B30</v>
      </c>
      <c r="F234" s="11" t="str">
        <f ca="1">IFERROR(__xludf.DUMMYFUNCTION("GOOGLETRANSLATE($B234,(""auto""),(""IT""))"),"Rimuovere il parafango posteriore - B30")</f>
        <v>Rimuovere il parafango posteriore - B30</v>
      </c>
      <c r="G234" s="12"/>
      <c r="H234" s="12"/>
      <c r="I234" s="12"/>
      <c r="J234" s="12"/>
      <c r="K234" s="12"/>
      <c r="L234" s="12"/>
      <c r="M234" s="12"/>
      <c r="N234" s="12"/>
      <c r="O234" s="12"/>
      <c r="P234" s="12"/>
      <c r="Q234" s="12"/>
      <c r="R234" s="12"/>
      <c r="S234" s="12"/>
      <c r="T234" s="12"/>
      <c r="U234" s="12"/>
      <c r="V234" s="12"/>
      <c r="W234" s="12"/>
      <c r="X234" s="12"/>
      <c r="Y234" s="12"/>
      <c r="Z234" s="12"/>
      <c r="AA234" s="12"/>
      <c r="AB234" s="12"/>
      <c r="AC234" s="12"/>
      <c r="AD234" s="12"/>
    </row>
    <row r="235" spans="1:30">
      <c r="A235" s="69" t="s">
        <v>150</v>
      </c>
      <c r="B235" s="70" t="s">
        <v>151</v>
      </c>
      <c r="C235" s="6"/>
      <c r="D235" s="70" t="str">
        <f ca="1">IFERROR(__xludf.DUMMYFUNCTION("GOOGLETRANSLATE(B235,(""auto""),(""es""))"),"Descripción")</f>
        <v>Descripción</v>
      </c>
      <c r="E235" s="70" t="str">
        <f ca="1">IFERROR(__xludf.DUMMYFUNCTION("GOOGLETRANSLATE(B235,(""auto""),(""fr""))"),"Description")</f>
        <v>Description</v>
      </c>
      <c r="F235" s="70" t="str">
        <f ca="1">IFERROR(__xludf.DUMMYFUNCTION("GOOGLETRANSLATE(D235,(""auto""),(""IT""))"),"Descrizione")</f>
        <v>Descrizione</v>
      </c>
    </row>
    <row r="236" spans="1:30" ht="84" customHeight="1">
      <c r="A236" s="10">
        <v>1</v>
      </c>
      <c r="B236" s="11" t="s">
        <v>366</v>
      </c>
      <c r="C236" s="6"/>
      <c r="D236" s="11" t="str">
        <f ca="1">IFERROR(__xludf.DUMMYFUNCTION("GOOGLETRANSLATE($B236,(""auto""),(""es""))"),"Use una llave de manga de 17 mm para eliminar los cuatro pernos, saque la rueda trasera.")</f>
        <v>Use una llave de manga de 17 mm para eliminar los cuatro pernos, saque la rueda trasera.</v>
      </c>
      <c r="E236" s="11" t="str">
        <f ca="1">IFERROR(__xludf.DUMMYFUNCTION("GOOGLETRANSLATE($B236,(""auto""),(""FR""))"),"Utilisez une clé à manche de 17 mm pour retirer les quatre boulons, retirez la roue arrière.")</f>
        <v>Utilisez une clé à manche de 17 mm pour retirer les quatre boulons, retirez la roue arrière.</v>
      </c>
      <c r="F236" s="11" t="str">
        <f ca="1">IFERROR(__xludf.DUMMYFUNCTION("GOOGLETRANSLATE($B236,(""auto""),(""IT""))"),"Usa una chiave a manica da 17 mm per rimuovere i quattro bulloni, estrarre la ruota posteriore.")</f>
        <v>Usa una chiave a manica da 17 mm per rimuovere i quattro bulloni, estrarre la ruota posteriore.</v>
      </c>
      <c r="G236" s="12"/>
      <c r="H236" s="12"/>
      <c r="I236" s="12"/>
      <c r="J236" s="12"/>
      <c r="K236" s="12"/>
      <c r="L236" s="12"/>
      <c r="M236" s="12"/>
      <c r="N236" s="12"/>
      <c r="O236" s="12"/>
      <c r="P236" s="12"/>
      <c r="Q236" s="12"/>
      <c r="R236" s="12"/>
      <c r="S236" s="12"/>
      <c r="T236" s="12"/>
      <c r="U236" s="12"/>
      <c r="V236" s="12"/>
      <c r="W236" s="12"/>
      <c r="X236" s="12"/>
      <c r="Y236" s="12"/>
      <c r="Z236" s="12"/>
      <c r="AA236" s="12"/>
      <c r="AB236" s="12"/>
      <c r="AC236" s="12"/>
      <c r="AD236" s="12"/>
    </row>
    <row r="237" spans="1:30" ht="26.25" customHeight="1">
      <c r="A237" s="73"/>
      <c r="B237" s="73" t="s">
        <v>367</v>
      </c>
      <c r="C237" s="73"/>
      <c r="D237" s="73" t="str">
        <f ca="1">IFERROR(__xludf.DUMMYFUNCTION("GOOGLETRANSLATE($B237,(""auto""),(""es""))"),"B33 - agarre del mango izquierdo")</f>
        <v>B33 - agarre del mango izquierdo</v>
      </c>
      <c r="E237" s="73" t="str">
        <f ca="1">IFERROR(__xludf.DUMMYFUNCTION("GOOGLETRANSLATE($B237,(""auto""),(""FR""))"),"B33 - poignée gauche")</f>
        <v>B33 - poignée gauche</v>
      </c>
      <c r="F237" s="73" t="str">
        <f ca="1">IFERROR(__xludf.DUMMYFUNCTION("GOOGLETRANSLATE($B237,(""auto""),(""IT""))"),"B33 - Grip della maniglia sinistra")</f>
        <v>B33 - Grip della maniglia sinistra</v>
      </c>
      <c r="G237" s="9"/>
      <c r="H237" s="9"/>
      <c r="I237" s="9"/>
      <c r="J237" s="9"/>
      <c r="K237" s="9"/>
      <c r="L237" s="9"/>
      <c r="M237" s="9"/>
      <c r="N237" s="9"/>
      <c r="O237" s="9"/>
      <c r="P237" s="9"/>
      <c r="Q237" s="9"/>
      <c r="R237" s="9"/>
      <c r="S237" s="9"/>
      <c r="T237" s="9"/>
      <c r="U237" s="9"/>
      <c r="V237" s="9"/>
      <c r="W237" s="9"/>
      <c r="X237" s="9"/>
      <c r="Y237" s="9"/>
      <c r="Z237" s="9"/>
      <c r="AA237" s="9"/>
      <c r="AB237" s="9"/>
      <c r="AC237" s="9"/>
      <c r="AD237" s="9"/>
    </row>
    <row r="238" spans="1:30">
      <c r="A238" s="69" t="s">
        <v>150</v>
      </c>
      <c r="B238" s="70" t="s">
        <v>151</v>
      </c>
      <c r="C238" s="70" t="s">
        <v>152</v>
      </c>
      <c r="D238" s="70" t="str">
        <f ca="1">IFERROR(__xludf.DUMMYFUNCTION("GOOGLETRANSLATE(B238,(""auto""),(""es""))"),"Descripción")</f>
        <v>Descripción</v>
      </c>
      <c r="E238" s="70" t="str">
        <f ca="1">IFERROR(__xludf.DUMMYFUNCTION("GOOGLETRANSLATE(B238,(""auto""),(""fr""))"),"Description")</f>
        <v>Description</v>
      </c>
      <c r="F238" s="70" t="str">
        <f ca="1">IFERROR(__xludf.DUMMYFUNCTION("GOOGLETRANSLATE(D238,(""auto""),(""IT""))"),"Descrizione")</f>
        <v>Descrizione</v>
      </c>
    </row>
    <row r="239" spans="1:30" ht="89.25" customHeight="1">
      <c r="A239" s="10">
        <v>1</v>
      </c>
      <c r="B239" s="11" t="s">
        <v>368</v>
      </c>
      <c r="C239" s="6"/>
      <c r="D239" s="11" t="str">
        <f ca="1">IFERROR(__xludf.DUMMYFUNCTION("GOOGLETRANSLATE($B239,(""auto""),(""es""))"),"Use una llave Allen de 5 mm para quitar el perno, elimine el peso del mango.")</f>
        <v>Use una llave Allen de 5 mm para quitar el perno, elimine el peso del mango.</v>
      </c>
      <c r="E239" s="11" t="str">
        <f ca="1">IFERROR(__xludf.DUMMYFUNCTION("GOOGLETRANSLATE($B239,(""auto""),(""FR""))"),"Utilisez une clé Allen de 5 mm pour retirer le boulon, supprimez le poids de la poignée.")</f>
        <v>Utilisez une clé Allen de 5 mm pour retirer le boulon, supprimez le poids de la poignée.</v>
      </c>
      <c r="F239" s="11" t="str">
        <f ca="1">IFERROR(__xludf.DUMMYFUNCTION("GOOGLETRANSLATE($B239,(""auto""),(""IT""))"),"Utilizzare una chiave Allen da 5 mm per rimuovere il bullone, eliminare il peso della maniglia.")</f>
        <v>Utilizzare una chiave Allen da 5 mm per rimuovere il bullone, eliminare il peso della maniglia.</v>
      </c>
      <c r="G239" s="12"/>
      <c r="H239" s="12"/>
      <c r="I239" s="12"/>
      <c r="J239" s="12"/>
      <c r="K239" s="12"/>
      <c r="L239" s="12"/>
      <c r="M239" s="12"/>
      <c r="N239" s="12"/>
      <c r="O239" s="12"/>
      <c r="P239" s="12"/>
      <c r="Q239" s="12"/>
      <c r="R239" s="12"/>
      <c r="S239" s="12"/>
      <c r="T239" s="12"/>
      <c r="U239" s="12"/>
      <c r="V239" s="12"/>
      <c r="W239" s="12"/>
      <c r="X239" s="12"/>
      <c r="Y239" s="12"/>
      <c r="Z239" s="12"/>
      <c r="AA239" s="12"/>
      <c r="AB239" s="12"/>
      <c r="AC239" s="12"/>
      <c r="AD239" s="12"/>
    </row>
    <row r="240" spans="1:30" ht="100.5" customHeight="1">
      <c r="A240" s="10">
        <v>2</v>
      </c>
      <c r="B240" s="11" t="s">
        <v>369</v>
      </c>
      <c r="C240" s="6"/>
      <c r="D240" s="11" t="str">
        <f ca="1">IFERROR(__xludf.DUMMYFUNCTION("GOOGLETRANSLATE($B240,(""auto""),(""es""))"),"Mantenga el agarre de la manija, gire y tácelo.")</f>
        <v>Mantenga el agarre de la manija, gire y tácelo.</v>
      </c>
      <c r="E240" s="11" t="str">
        <f ca="1">IFERROR(__xludf.DUMMYFUNCTION("GOOGLETRANSLATE($B240,(""auto""),(""FR""))"),"Tenez la poignée de poignée, tournez-la et retirez-la.")</f>
        <v>Tenez la poignée de poignée, tournez-la et retirez-la.</v>
      </c>
      <c r="F240" s="11" t="str">
        <f ca="1">IFERROR(__xludf.DUMMYFUNCTION("GOOGLETRANSLATE($B240,(""auto""),(""IT""))"),"Tieni la presa della maniglia, ruota e tiralo fuori.")</f>
        <v>Tieni la presa della maniglia, ruota e tiralo fuori.</v>
      </c>
      <c r="G240" s="12"/>
      <c r="H240" s="12"/>
      <c r="I240" s="12"/>
      <c r="J240" s="12"/>
      <c r="K240" s="12"/>
      <c r="L240" s="12"/>
      <c r="M240" s="12"/>
      <c r="N240" s="12"/>
      <c r="O240" s="12"/>
      <c r="P240" s="12"/>
      <c r="Q240" s="12"/>
      <c r="R240" s="12"/>
      <c r="S240" s="12"/>
      <c r="T240" s="12"/>
      <c r="U240" s="12"/>
      <c r="V240" s="12"/>
      <c r="W240" s="12"/>
      <c r="X240" s="12"/>
      <c r="Y240" s="12"/>
      <c r="Z240" s="12"/>
      <c r="AA240" s="12"/>
      <c r="AB240" s="12"/>
      <c r="AC240" s="12"/>
      <c r="AD240" s="12"/>
    </row>
    <row r="241" spans="1:30" ht="26.25" customHeight="1">
      <c r="A241" s="73"/>
      <c r="B241" s="73" t="s">
        <v>370</v>
      </c>
      <c r="C241" s="73"/>
      <c r="D241" s="73" t="str">
        <f ca="1">IFERROR(__xludf.DUMMYFUNCTION("GOOGLETRANSLATE($B241,(""auto""),(""es""))"),"B34 - Manejo")</f>
        <v>B34 - Manejo</v>
      </c>
      <c r="E241" s="73" t="str">
        <f ca="1">IFERROR(__xludf.DUMMYFUNCTION("GOOGLETRANSLATE($B241,(""auto""),(""FR""))"),"B34 - guidon")</f>
        <v>B34 - guidon</v>
      </c>
      <c r="F241" s="73" t="str">
        <f ca="1">IFERROR(__xludf.DUMMYFUNCTION("GOOGLETRANSLATE($B241,(""auto""),(""IT""))"),"B34 - manubrio")</f>
        <v>B34 - manubrio</v>
      </c>
      <c r="G241" s="9"/>
      <c r="H241" s="9"/>
      <c r="I241" s="9"/>
      <c r="J241" s="9"/>
      <c r="K241" s="9"/>
      <c r="L241" s="9"/>
      <c r="M241" s="9"/>
      <c r="N241" s="9"/>
      <c r="O241" s="9"/>
      <c r="P241" s="9"/>
      <c r="Q241" s="9"/>
      <c r="R241" s="9"/>
      <c r="S241" s="9"/>
      <c r="T241" s="9"/>
      <c r="U241" s="9"/>
      <c r="V241" s="9"/>
      <c r="W241" s="9"/>
      <c r="X241" s="9"/>
      <c r="Y241" s="9"/>
      <c r="Z241" s="9"/>
      <c r="AA241" s="9"/>
      <c r="AB241" s="9"/>
      <c r="AC241" s="9"/>
      <c r="AD241" s="9"/>
    </row>
    <row r="242" spans="1:30">
      <c r="A242" s="69" t="s">
        <v>145</v>
      </c>
      <c r="B242" s="70" t="s">
        <v>146</v>
      </c>
      <c r="C242" s="70" t="s">
        <v>147</v>
      </c>
      <c r="D242" s="70" t="str">
        <f ca="1">IFERROR(__xludf.DUMMYFUNCTION("GOOGLETRANSLATE(B242,(""auto""),(""es""))"),"Preparación:")</f>
        <v>Preparación:</v>
      </c>
      <c r="E242" s="70" t="str">
        <f ca="1">IFERROR(__xludf.DUMMYFUNCTION("GOOGLETRANSLATE(B242,(""auto""),(""fr""))"),"Préparation:")</f>
        <v>Préparation:</v>
      </c>
      <c r="F242" s="70" t="str">
        <f ca="1">IFERROR(__xludf.DUMMYFUNCTION("GOOGLETRANSLATE(D242,(""auto""),(""IT""))"),"Preparazione:")</f>
        <v>Preparazione:</v>
      </c>
    </row>
    <row r="243" spans="1:30">
      <c r="A243" s="10">
        <v>1</v>
      </c>
      <c r="B243" s="11" t="s">
        <v>156</v>
      </c>
      <c r="C243" s="6"/>
      <c r="D243" s="11" t="str">
        <f ca="1">IFERROR(__xludf.DUMMYFUNCTION("GOOGLETRANSLATE($B243,(""auto""),(""es""))"),"Retire la canasta delantera - B0")</f>
        <v>Retire la canasta delantera - B0</v>
      </c>
      <c r="E243" s="11" t="str">
        <f ca="1">IFERROR(__xludf.DUMMYFUNCTION("GOOGLETRANSLATE($B243,(""auto""),(""FR""))"),"Retirez le panier avant - B0")</f>
        <v>Retirez le panier avant - B0</v>
      </c>
      <c r="F243" s="11" t="str">
        <f ca="1">IFERROR(__xludf.DUMMYFUNCTION("GOOGLETRANSLATE($B243,(""auto""),(""IT""))"),"Rimuovere il cestino anteriore - B0")</f>
        <v>Rimuovere il cestino anteriore - B0</v>
      </c>
      <c r="G243" s="12"/>
      <c r="H243" s="12"/>
      <c r="I243" s="12"/>
      <c r="J243" s="12"/>
      <c r="K243" s="12"/>
      <c r="L243" s="12"/>
      <c r="M243" s="12"/>
      <c r="N243" s="12"/>
      <c r="O243" s="12"/>
      <c r="P243" s="12"/>
      <c r="Q243" s="12"/>
      <c r="R243" s="12"/>
      <c r="S243" s="12"/>
      <c r="T243" s="12"/>
      <c r="U243" s="12"/>
      <c r="V243" s="12"/>
      <c r="W243" s="12"/>
      <c r="X243" s="12"/>
      <c r="Y243" s="12"/>
      <c r="Z243" s="12"/>
      <c r="AA243" s="12"/>
      <c r="AB243" s="12"/>
      <c r="AC243" s="12"/>
      <c r="AD243" s="12"/>
    </row>
    <row r="244" spans="1:30">
      <c r="A244" s="10">
        <v>2</v>
      </c>
      <c r="B244" s="11" t="s">
        <v>149</v>
      </c>
      <c r="C244" s="6"/>
      <c r="D244" s="11" t="str">
        <f ca="1">IFERROR(__xludf.DUMMYFUNCTION("GOOGLETRANSLATE($B244,(""auto""),(""es""))"),"Retire la cubierta frontal - B1")</f>
        <v>Retire la cubierta frontal - B1</v>
      </c>
      <c r="E244" s="11" t="str">
        <f ca="1">IFERROR(__xludf.DUMMYFUNCTION("GOOGLETRANSLATE($B244,(""auto""),(""FR""))"),"Retirez le couvercle avant - B1")</f>
        <v>Retirez le couvercle avant - B1</v>
      </c>
      <c r="F244" s="11" t="str">
        <f ca="1">IFERROR(__xludf.DUMMYFUNCTION("GOOGLETRANSLATE($B244,(""auto""),(""IT""))"),"Rimuovere il coperchio anteriore - B1")</f>
        <v>Rimuovere il coperchio anteriore - B1</v>
      </c>
      <c r="G244" s="12"/>
      <c r="H244" s="12"/>
      <c r="I244" s="12"/>
      <c r="J244" s="12"/>
      <c r="K244" s="12"/>
      <c r="L244" s="12"/>
      <c r="M244" s="12"/>
      <c r="N244" s="12"/>
      <c r="O244" s="12"/>
      <c r="P244" s="12"/>
      <c r="Q244" s="12"/>
      <c r="R244" s="12"/>
      <c r="S244" s="12"/>
      <c r="T244" s="12"/>
      <c r="U244" s="12"/>
      <c r="V244" s="12"/>
      <c r="W244" s="12"/>
      <c r="X244" s="12"/>
      <c r="Y244" s="12"/>
      <c r="Z244" s="12"/>
      <c r="AA244" s="12"/>
      <c r="AB244" s="12"/>
      <c r="AC244" s="12"/>
      <c r="AD244" s="12"/>
    </row>
    <row r="245" spans="1:30">
      <c r="A245" s="10">
        <v>3</v>
      </c>
      <c r="B245" s="11" t="s">
        <v>371</v>
      </c>
      <c r="C245" s="6"/>
      <c r="D245" s="11" t="str">
        <f ca="1">IFERROR(__xludf.DUMMYFUNCTION("GOOGLETRANSLATE($B245,(""auto""),(""es""))"),"Retire el protector delantero - B5")</f>
        <v>Retire el protector delantero - B5</v>
      </c>
      <c r="E245" s="11" t="str">
        <f ca="1">IFERROR(__xludf.DUMMYFUNCTION("GOOGLETRANSLATE($B245,(""auto""),(""FR""))"),"Retirez le bouclier côté avant - B5")</f>
        <v>Retirez le bouclier côté avant - B5</v>
      </c>
      <c r="F245" s="11" t="str">
        <f ca="1">IFERROR(__xludf.DUMMYFUNCTION("GOOGLETRANSLATE($B245,(""auto""),(""IT""))"),"Rimuovere lo scudo del lato anteriore - B5")</f>
        <v>Rimuovere lo scudo del lato anteriore - B5</v>
      </c>
      <c r="G245" s="12"/>
      <c r="H245" s="12"/>
      <c r="I245" s="12"/>
      <c r="J245" s="12"/>
      <c r="K245" s="12"/>
      <c r="L245" s="12"/>
      <c r="M245" s="12"/>
      <c r="N245" s="12"/>
      <c r="O245" s="12"/>
      <c r="P245" s="12"/>
      <c r="Q245" s="12"/>
      <c r="R245" s="12"/>
      <c r="S245" s="12"/>
      <c r="T245" s="12"/>
      <c r="U245" s="12"/>
      <c r="V245" s="12"/>
      <c r="W245" s="12"/>
      <c r="X245" s="12"/>
      <c r="Y245" s="12"/>
      <c r="Z245" s="12"/>
      <c r="AA245" s="12"/>
      <c r="AB245" s="12"/>
      <c r="AC245" s="12"/>
      <c r="AD245" s="12"/>
    </row>
    <row r="246" spans="1:30">
      <c r="A246" s="10">
        <v>4</v>
      </c>
      <c r="B246" s="11" t="s">
        <v>344</v>
      </c>
      <c r="C246" s="6"/>
      <c r="D246" s="11" t="str">
        <f ca="1">IFERROR(__xludf.DUMMYFUNCTION("GOOGLETRANSLATE($B246,(""auto""),(""es""))"),"Retire el pedal - B7")</f>
        <v>Retire el pedal - B7</v>
      </c>
      <c r="E246" s="11" t="str">
        <f ca="1">IFERROR(__xludf.DUMMYFUNCTION("GOOGLETRANSLATE($B246,(""auto""),(""FR""))"),"Retirez la pédale - B7")</f>
        <v>Retirez la pédale - B7</v>
      </c>
      <c r="F246" s="11" t="str">
        <f ca="1">IFERROR(__xludf.DUMMYFUNCTION("GOOGLETRANSLATE($B246,(""auto""),(""IT""))"),"Rimuovi il pedale - B7")</f>
        <v>Rimuovi il pedale - B7</v>
      </c>
      <c r="G246" s="12"/>
      <c r="H246" s="12"/>
      <c r="I246" s="12"/>
      <c r="J246" s="12"/>
      <c r="K246" s="12"/>
      <c r="L246" s="12"/>
      <c r="M246" s="12"/>
      <c r="N246" s="12"/>
      <c r="O246" s="12"/>
      <c r="P246" s="12"/>
      <c r="Q246" s="12"/>
      <c r="R246" s="12"/>
      <c r="S246" s="12"/>
      <c r="T246" s="12"/>
      <c r="U246" s="12"/>
      <c r="V246" s="12"/>
      <c r="W246" s="12"/>
      <c r="X246" s="12"/>
      <c r="Y246" s="12"/>
      <c r="Z246" s="12"/>
      <c r="AA246" s="12"/>
      <c r="AB246" s="12"/>
      <c r="AC246" s="12"/>
      <c r="AD246" s="12"/>
    </row>
    <row r="247" spans="1:30">
      <c r="A247" s="10">
        <v>5</v>
      </c>
      <c r="B247" s="11" t="s">
        <v>372</v>
      </c>
      <c r="C247" s="6"/>
      <c r="D247" s="11" t="str">
        <f ca="1">IFERROR(__xludf.DUMMYFUNCTION("GOOGLETRANSLATE($B247,(""auto""),(""es""))"),"Retire la tira de cubierta lateral - B8")</f>
        <v>Retire la tira de cubierta lateral - B8</v>
      </c>
      <c r="E247" s="11" t="str">
        <f ca="1">IFERROR(__xludf.DUMMYFUNCTION("GOOGLETRANSLATE($B247,(""auto""),(""FR""))"),"Retirez la bande de couverture latérale - B8")</f>
        <v>Retirez la bande de couverture latérale - B8</v>
      </c>
      <c r="F247" s="11" t="str">
        <f ca="1">IFERROR(__xludf.DUMMYFUNCTION("GOOGLETRANSLATE($B247,(""auto""),(""IT""))"),"Rimuovere la striscia di copertura laterale - B8")</f>
        <v>Rimuovere la striscia di copertura laterale - B8</v>
      </c>
      <c r="G247" s="12"/>
      <c r="H247" s="12"/>
      <c r="I247" s="12"/>
      <c r="J247" s="12"/>
      <c r="K247" s="12"/>
      <c r="L247" s="12"/>
      <c r="M247" s="12"/>
      <c r="N247" s="12"/>
      <c r="O247" s="12"/>
      <c r="P247" s="12"/>
      <c r="Q247" s="12"/>
      <c r="R247" s="12"/>
      <c r="S247" s="12"/>
      <c r="T247" s="12"/>
      <c r="U247" s="12"/>
      <c r="V247" s="12"/>
      <c r="W247" s="12"/>
      <c r="X247" s="12"/>
      <c r="Y247" s="12"/>
      <c r="Z247" s="12"/>
      <c r="AA247" s="12"/>
      <c r="AB247" s="12"/>
      <c r="AC247" s="12"/>
      <c r="AD247" s="12"/>
    </row>
    <row r="248" spans="1:30">
      <c r="A248" s="10">
        <v>6</v>
      </c>
      <c r="B248" s="11" t="s">
        <v>272</v>
      </c>
      <c r="C248" s="6"/>
      <c r="D248" s="11" t="str">
        <f ca="1">IFERROR(__xludf.DUMMYFUNCTION("GOOGLETRANSLATE($B248,(""auto""),(""es""))"),"Retire el gancho - B9")</f>
        <v>Retire el gancho - B9</v>
      </c>
      <c r="E248" s="11" t="str">
        <f ca="1">IFERROR(__xludf.DUMMYFUNCTION("GOOGLETRANSLATE($B248,(""auto""),(""FR""))"),"Retirez le crochet - B9")</f>
        <v>Retirez le crochet - B9</v>
      </c>
      <c r="F248" s="11" t="str">
        <f ca="1">IFERROR(__xludf.DUMMYFUNCTION("GOOGLETRANSLATE($B248,(""auto""),(""IT""))"),"Rimuovi il gancio - B9")</f>
        <v>Rimuovi il gancio - B9</v>
      </c>
      <c r="G248" s="12"/>
      <c r="H248" s="12"/>
      <c r="I248" s="12"/>
      <c r="J248" s="12"/>
      <c r="K248" s="12"/>
      <c r="L248" s="12"/>
      <c r="M248" s="12"/>
      <c r="N248" s="12"/>
      <c r="O248" s="12"/>
      <c r="P248" s="12"/>
      <c r="Q248" s="12"/>
      <c r="R248" s="12"/>
      <c r="S248" s="12"/>
      <c r="T248" s="12"/>
      <c r="U248" s="12"/>
      <c r="V248" s="12"/>
      <c r="W248" s="12"/>
      <c r="X248" s="12"/>
      <c r="Y248" s="12"/>
      <c r="Z248" s="12"/>
      <c r="AA248" s="12"/>
      <c r="AB248" s="12"/>
      <c r="AC248" s="12"/>
      <c r="AD248" s="12"/>
    </row>
    <row r="249" spans="1:30">
      <c r="A249" s="10">
        <v>7</v>
      </c>
      <c r="B249" s="11" t="s">
        <v>273</v>
      </c>
      <c r="C249" s="6"/>
      <c r="D249" s="11" t="str">
        <f ca="1">IFERROR(__xludf.DUMMYFUNCTION("GOOGLETRANSLATE($B249,(""auto""),(""es""))"),"Retire la cubierta de bloqueo de energía - B10")</f>
        <v>Retire la cubierta de bloqueo de energía - B10</v>
      </c>
      <c r="E249" s="11" t="str">
        <f ca="1">IFERROR(__xludf.DUMMYFUNCTION("GOOGLETRANSLATE($B249,(""auto""),(""FR""))"),"Retirez le couvercle de verrouillage d'alimentation - B10")</f>
        <v>Retirez le couvercle de verrouillage d'alimentation - B10</v>
      </c>
      <c r="F249" s="11" t="str">
        <f ca="1">IFERROR(__xludf.DUMMYFUNCTION("GOOGLETRANSLATE($B249,(""auto""),(""IT""))"),"Rimuovere il coperchio del blocco di alimentazione - B10")</f>
        <v>Rimuovere il coperchio del blocco di alimentazione - B10</v>
      </c>
      <c r="G249" s="12"/>
      <c r="H249" s="12"/>
      <c r="I249" s="12"/>
      <c r="J249" s="12"/>
      <c r="K249" s="12"/>
      <c r="L249" s="12"/>
      <c r="M249" s="12"/>
      <c r="N249" s="12"/>
      <c r="O249" s="12"/>
      <c r="P249" s="12"/>
      <c r="Q249" s="12"/>
      <c r="R249" s="12"/>
      <c r="S249" s="12"/>
      <c r="T249" s="12"/>
      <c r="U249" s="12"/>
      <c r="V249" s="12"/>
      <c r="W249" s="12"/>
      <c r="X249" s="12"/>
      <c r="Y249" s="12"/>
      <c r="Z249" s="12"/>
      <c r="AA249" s="12"/>
      <c r="AB249" s="12"/>
      <c r="AC249" s="12"/>
      <c r="AD249" s="12"/>
    </row>
    <row r="250" spans="1:30">
      <c r="A250" s="10">
        <v>8</v>
      </c>
      <c r="B250" s="11" t="s">
        <v>277</v>
      </c>
      <c r="C250" s="6"/>
      <c r="D250" s="11" t="str">
        <f ca="1">IFERROR(__xludf.DUMMYFUNCTION("GOOGLETRANSLATE($B250,(""auto""),(""es""))"),"Retire la cubierta de la viga principal - B11")</f>
        <v>Retire la cubierta de la viga principal - B11</v>
      </c>
      <c r="E250" s="11" t="str">
        <f ca="1">IFERROR(__xludf.DUMMYFUNCTION("GOOGLETRANSLATE($B250,(""auto""),(""FR""))"),"Retirez le couvercle de la poutre principale - B11")</f>
        <v>Retirez le couvercle de la poutre principale - B11</v>
      </c>
      <c r="F250" s="11" t="str">
        <f ca="1">IFERROR(__xludf.DUMMYFUNCTION("GOOGLETRANSLATE($B250,(""auto""),(""IT""))"),"Rimuovere il coperchio della trave principale - B11")</f>
        <v>Rimuovere il coperchio della trave principale - B11</v>
      </c>
      <c r="G250" s="12"/>
      <c r="H250" s="12"/>
      <c r="I250" s="12"/>
      <c r="J250" s="12"/>
      <c r="K250" s="12"/>
      <c r="L250" s="12"/>
      <c r="M250" s="12"/>
      <c r="N250" s="12"/>
      <c r="O250" s="12"/>
      <c r="P250" s="12"/>
      <c r="Q250" s="12"/>
      <c r="R250" s="12"/>
      <c r="S250" s="12"/>
      <c r="T250" s="12"/>
      <c r="U250" s="12"/>
      <c r="V250" s="12"/>
      <c r="W250" s="12"/>
      <c r="X250" s="12"/>
      <c r="Y250" s="12"/>
      <c r="Z250" s="12"/>
      <c r="AA250" s="12"/>
      <c r="AB250" s="12"/>
      <c r="AC250" s="12"/>
      <c r="AD250" s="12"/>
    </row>
    <row r="251" spans="1:30">
      <c r="A251" s="10">
        <v>9</v>
      </c>
      <c r="B251" s="11" t="s">
        <v>373</v>
      </c>
      <c r="C251" s="6"/>
      <c r="D251" s="11" t="str">
        <f ca="1">IFERROR(__xludf.DUMMYFUNCTION("GOOGLETRANSLATE($B251,(""auto""),(""es""))"),"Retire el ejemplo del interruptor izquierdo y derecho - A3, A4")</f>
        <v>Retire el ejemplo del interruptor izquierdo y derecho - A3, A4</v>
      </c>
      <c r="E251" s="11" t="str">
        <f ca="1">IFERROR(__xludf.DUMMYFUNCTION("GOOGLETRANSLATE($B251,(""auto""),(""FR""))"),"Retirez le commutateur gauche et droit Assy - A3, A4")</f>
        <v>Retirez le commutateur gauche et droit Assy - A3, A4</v>
      </c>
      <c r="F251" s="11" t="str">
        <f ca="1">IFERROR(__xludf.DUMMYFUNCTION("GOOGLETRANSLATE($B251,(""auto""),(""IT""))"),"Rimuovi l'interruttore sinistro e destro ASSY - A3, A4")</f>
        <v>Rimuovi l'interruttore sinistro e destro ASSY - A3, A4</v>
      </c>
      <c r="G251" s="12"/>
      <c r="H251" s="12"/>
      <c r="I251" s="12"/>
      <c r="J251" s="12"/>
      <c r="K251" s="12"/>
      <c r="L251" s="12"/>
      <c r="M251" s="12"/>
      <c r="N251" s="12"/>
      <c r="O251" s="12"/>
      <c r="P251" s="12"/>
      <c r="Q251" s="12"/>
      <c r="R251" s="12"/>
      <c r="S251" s="12"/>
      <c r="T251" s="12"/>
      <c r="U251" s="12"/>
      <c r="V251" s="12"/>
      <c r="W251" s="12"/>
      <c r="X251" s="12"/>
      <c r="Y251" s="12"/>
      <c r="Z251" s="12"/>
      <c r="AA251" s="12"/>
      <c r="AB251" s="12"/>
      <c r="AC251" s="12"/>
      <c r="AD251" s="12"/>
    </row>
    <row r="252" spans="1:30">
      <c r="A252" s="69" t="s">
        <v>150</v>
      </c>
      <c r="B252" s="70" t="s">
        <v>151</v>
      </c>
      <c r="C252" s="70" t="s">
        <v>152</v>
      </c>
      <c r="D252" s="70" t="str">
        <f ca="1">IFERROR(__xludf.DUMMYFUNCTION("GOOGLETRANSLATE(B252,(""auto""),(""es""))"),"Descripción")</f>
        <v>Descripción</v>
      </c>
      <c r="E252" s="70" t="str">
        <f ca="1">IFERROR(__xludf.DUMMYFUNCTION("GOOGLETRANSLATE(B252,(""auto""),(""fr""))"),"Description")</f>
        <v>Description</v>
      </c>
      <c r="F252" s="70" t="str">
        <f ca="1">IFERROR(__xludf.DUMMYFUNCTION("GOOGLETRANSLATE(D252,(""auto""),(""IT""))"),"Descrizione")</f>
        <v>Descrizione</v>
      </c>
    </row>
    <row r="253" spans="1:30" ht="69.75" customHeight="1">
      <c r="A253" s="10">
        <v>1</v>
      </c>
      <c r="B253" s="11" t="s">
        <v>374</v>
      </c>
      <c r="C253" s="6"/>
      <c r="D253" s="11" t="str">
        <f ca="1">IFERROR(__xludf.DUMMYFUNCTION("GOOGLETRANSLATE($B253,(""auto""),(""es""))"),"Use una llave Allen de 5 mm para quitar los cuatro tornillos del soporte del manillar, saque el manillar.")</f>
        <v>Use una llave Allen de 5 mm para quitar los cuatro tornillos del soporte del manillar, saque el manillar.</v>
      </c>
      <c r="E253" s="11" t="str">
        <f ca="1">IFERROR(__xludf.DUMMYFUNCTION("GOOGLETRANSLATE($B253,(""auto""),(""FR""))"),"Utilisez une clé Allen de 5 mm pour retirer les quatre vis sur le support de guidon, retirez le guidon.")</f>
        <v>Utilisez une clé Allen de 5 mm pour retirer les quatre vis sur le support de guidon, retirez le guidon.</v>
      </c>
      <c r="F253" s="11" t="str">
        <f ca="1">IFERROR(__xludf.DUMMYFUNCTION("GOOGLETRANSLATE($B253,(""auto""),(""IT""))"),"Utilizzare una chiave Allen da 5 mm per rimuovere le quattro viti sul supporto per manubrio, eliminare il manubrio.")</f>
        <v>Utilizzare una chiave Allen da 5 mm per rimuovere le quattro viti sul supporto per manubrio, eliminare il manubrio.</v>
      </c>
      <c r="G253" s="12"/>
      <c r="H253" s="12"/>
      <c r="I253" s="12"/>
      <c r="J253" s="12"/>
      <c r="K253" s="12"/>
      <c r="L253" s="12"/>
      <c r="M253" s="12"/>
      <c r="N253" s="12"/>
      <c r="O253" s="12"/>
      <c r="P253" s="12"/>
      <c r="Q253" s="12"/>
      <c r="R253" s="12"/>
      <c r="S253" s="12"/>
      <c r="T253" s="12"/>
      <c r="U253" s="12"/>
      <c r="V253" s="12"/>
      <c r="W253" s="12"/>
      <c r="X253" s="12"/>
      <c r="Y253" s="12"/>
      <c r="Z253" s="12"/>
      <c r="AA253" s="12"/>
      <c r="AB253" s="12"/>
      <c r="AC253" s="12"/>
      <c r="AD253" s="12"/>
    </row>
    <row r="254" spans="1:30" ht="26.25" customHeight="1">
      <c r="A254" s="73"/>
      <c r="B254" s="73" t="s">
        <v>375</v>
      </c>
      <c r="C254" s="73"/>
      <c r="D254" s="73" t="s">
        <v>376</v>
      </c>
      <c r="E254" s="73" t="str">
        <f ca="1">IFERROR(__xludf.DUMMYFUNCTION("GOOGLETRANSLATE($B254,(""auto""),(""FR""))"),"B35 - Gire le poteau comp")</f>
        <v>B35 - Gire le poteau comp</v>
      </c>
      <c r="F254" s="73" t="str">
        <f ca="1">IFERROR(__xludf.DUMMYFUNCTION("GOOGLETRANSLATE($B254,(""auto""),(""IT""))"),"B35 - Gestire post comp")</f>
        <v>B35 - Gestire post comp</v>
      </c>
      <c r="G254" s="9"/>
      <c r="H254" s="9"/>
      <c r="I254" s="9"/>
      <c r="J254" s="9"/>
      <c r="K254" s="9"/>
      <c r="L254" s="9"/>
      <c r="M254" s="9"/>
      <c r="N254" s="9"/>
      <c r="O254" s="9"/>
      <c r="P254" s="9"/>
      <c r="Q254" s="9"/>
      <c r="R254" s="9"/>
      <c r="S254" s="9"/>
      <c r="T254" s="9"/>
      <c r="U254" s="9"/>
      <c r="V254" s="9"/>
      <c r="W254" s="9"/>
      <c r="X254" s="9"/>
      <c r="Y254" s="9"/>
      <c r="Z254" s="9"/>
      <c r="AA254" s="9"/>
      <c r="AB254" s="9"/>
      <c r="AC254" s="9"/>
      <c r="AD254" s="9"/>
    </row>
    <row r="255" spans="1:30">
      <c r="A255" s="69" t="s">
        <v>145</v>
      </c>
      <c r="B255" s="70" t="s">
        <v>146</v>
      </c>
      <c r="C255" s="70" t="s">
        <v>147</v>
      </c>
      <c r="D255" s="70" t="str">
        <f ca="1">IFERROR(__xludf.DUMMYFUNCTION("GOOGLETRANSLATE(B255,(""auto""),(""es""))"),"Preparación:")</f>
        <v>Preparación:</v>
      </c>
      <c r="E255" s="70" t="str">
        <f ca="1">IFERROR(__xludf.DUMMYFUNCTION("GOOGLETRANSLATE(B255,(""auto""),(""fr""))"),"Préparation:")</f>
        <v>Préparation:</v>
      </c>
      <c r="F255" s="70" t="str">
        <f ca="1">IFERROR(__xludf.DUMMYFUNCTION("GOOGLETRANSLATE(D255,(""auto""),(""IT""))"),"Preparazione:")</f>
        <v>Preparazione:</v>
      </c>
    </row>
    <row r="256" spans="1:30">
      <c r="A256" s="10">
        <v>1</v>
      </c>
      <c r="B256" s="11" t="s">
        <v>156</v>
      </c>
      <c r="C256" s="6"/>
      <c r="D256" s="11" t="str">
        <f ca="1">IFERROR(__xludf.DUMMYFUNCTION("GOOGLETRANSLATE($B256,(""auto""),(""es""))"),"Retire la canasta delantera - B0")</f>
        <v>Retire la canasta delantera - B0</v>
      </c>
      <c r="E256" s="11" t="str">
        <f ca="1">IFERROR(__xludf.DUMMYFUNCTION("GOOGLETRANSLATE($B256,(""auto""),(""FR""))"),"Retirez le panier avant - B0")</f>
        <v>Retirez le panier avant - B0</v>
      </c>
      <c r="F256" s="11" t="str">
        <f ca="1">IFERROR(__xludf.DUMMYFUNCTION("GOOGLETRANSLATE($B256,(""auto""),(""IT""))"),"Rimuovere il cestino anteriore - B0")</f>
        <v>Rimuovere il cestino anteriore - B0</v>
      </c>
      <c r="G256" s="12"/>
      <c r="H256" s="12"/>
      <c r="I256" s="12"/>
      <c r="J256" s="12"/>
      <c r="K256" s="12"/>
      <c r="L256" s="12"/>
      <c r="M256" s="12"/>
      <c r="N256" s="12"/>
      <c r="O256" s="12"/>
      <c r="P256" s="12"/>
      <c r="Q256" s="12"/>
      <c r="R256" s="12"/>
      <c r="S256" s="12"/>
      <c r="T256" s="12"/>
      <c r="U256" s="12"/>
      <c r="V256" s="12"/>
      <c r="W256" s="12"/>
      <c r="X256" s="12"/>
      <c r="Y256" s="12"/>
      <c r="Z256" s="12"/>
      <c r="AA256" s="12"/>
      <c r="AB256" s="12"/>
      <c r="AC256" s="12"/>
      <c r="AD256" s="12"/>
    </row>
    <row r="257" spans="1:30">
      <c r="A257" s="10">
        <v>2</v>
      </c>
      <c r="B257" s="11" t="s">
        <v>149</v>
      </c>
      <c r="C257" s="6"/>
      <c r="D257" s="11" t="str">
        <f ca="1">IFERROR(__xludf.DUMMYFUNCTION("GOOGLETRANSLATE($B257,(""auto""),(""es""))"),"Retire la cubierta frontal - B1")</f>
        <v>Retire la cubierta frontal - B1</v>
      </c>
      <c r="E257" s="11" t="str">
        <f ca="1">IFERROR(__xludf.DUMMYFUNCTION("GOOGLETRANSLATE($B257,(""auto""),(""FR""))"),"Retirez le couvercle avant - B1")</f>
        <v>Retirez le couvercle avant - B1</v>
      </c>
      <c r="F257" s="11" t="str">
        <f ca="1">IFERROR(__xludf.DUMMYFUNCTION("GOOGLETRANSLATE($B257,(""auto""),(""IT""))"),"Rimuovere il coperchio anteriore - B1")</f>
        <v>Rimuovere il coperchio anteriore - B1</v>
      </c>
      <c r="G257" s="12"/>
      <c r="H257" s="12"/>
      <c r="I257" s="12"/>
      <c r="J257" s="12"/>
      <c r="K257" s="12"/>
      <c r="L257" s="12"/>
      <c r="M257" s="12"/>
      <c r="N257" s="12"/>
      <c r="O257" s="12"/>
      <c r="P257" s="12"/>
      <c r="Q257" s="12"/>
      <c r="R257" s="12"/>
      <c r="S257" s="12"/>
      <c r="T257" s="12"/>
      <c r="U257" s="12"/>
      <c r="V257" s="12"/>
      <c r="W257" s="12"/>
      <c r="X257" s="12"/>
      <c r="Y257" s="12"/>
      <c r="Z257" s="12"/>
      <c r="AA257" s="12"/>
      <c r="AB257" s="12"/>
      <c r="AC257" s="12"/>
      <c r="AD257" s="12"/>
    </row>
    <row r="258" spans="1:30">
      <c r="A258" s="10">
        <v>3</v>
      </c>
      <c r="B258" s="11" t="s">
        <v>228</v>
      </c>
      <c r="C258" s="6"/>
      <c r="D258" s="11" t="str">
        <f ca="1">IFERROR(__xludf.DUMMYFUNCTION("GOOGLETRANSLATE($B258,(""auto""),(""es""))"),"Retire los escudos delanteros izquierdo y derecho - B5")</f>
        <v>Retire los escudos delanteros izquierdo y derecho - B5</v>
      </c>
      <c r="E258" s="11" t="str">
        <f ca="1">IFERROR(__xludf.DUMMYFUNCTION("GOOGLETRANSLATE($B258,(""auto""),(""FR""))"),"Retirez les boucliers avant gauche et droit - B5")</f>
        <v>Retirez les boucliers avant gauche et droit - B5</v>
      </c>
      <c r="F258" s="11" t="str">
        <f ca="1">IFERROR(__xludf.DUMMYFUNCTION("GOOGLETRANSLATE($B258,(""auto""),(""IT""))"),"Rimuovere gli scudi anteriori sinistro e destro - B5")</f>
        <v>Rimuovere gli scudi anteriori sinistro e destro - B5</v>
      </c>
      <c r="G258" s="12"/>
      <c r="H258" s="12"/>
      <c r="I258" s="12"/>
      <c r="J258" s="12"/>
      <c r="K258" s="12"/>
      <c r="L258" s="12"/>
      <c r="M258" s="12"/>
      <c r="N258" s="12"/>
      <c r="O258" s="12"/>
      <c r="P258" s="12"/>
      <c r="Q258" s="12"/>
      <c r="R258" s="12"/>
      <c r="S258" s="12"/>
      <c r="T258" s="12"/>
      <c r="U258" s="12"/>
      <c r="V258" s="12"/>
      <c r="W258" s="12"/>
      <c r="X258" s="12"/>
      <c r="Y258" s="12"/>
      <c r="Z258" s="12"/>
      <c r="AA258" s="12"/>
      <c r="AB258" s="12"/>
      <c r="AC258" s="12"/>
      <c r="AD258" s="12"/>
    </row>
    <row r="259" spans="1:30">
      <c r="A259" s="10">
        <v>4</v>
      </c>
      <c r="B259" s="11" t="s">
        <v>229</v>
      </c>
      <c r="C259" s="6"/>
      <c r="D259" s="11" t="str">
        <f ca="1">IFERROR(__xludf.DUMMYFUNCTION("GOOGLETRANSLATE($B259,(""auto""),(""es""))"),"Quítate el pedal - B7")</f>
        <v>Quítate el pedal - B7</v>
      </c>
      <c r="E259" s="11" t="str">
        <f ca="1">IFERROR(__xludf.DUMMYFUNCTION("GOOGLETRANSLATE($B259,(""auto""),(""FR""))"),"Enlever la pédale - B7")</f>
        <v>Enlever la pédale - B7</v>
      </c>
      <c r="F259" s="11" t="str">
        <f ca="1">IFERROR(__xludf.DUMMYFUNCTION("GOOGLETRANSLATE($B259,(""auto""),(""IT""))"),"Togli il pedale - B7")</f>
        <v>Togli il pedale - B7</v>
      </c>
      <c r="G259" s="12"/>
      <c r="H259" s="12"/>
      <c r="I259" s="12"/>
      <c r="J259" s="12"/>
      <c r="K259" s="12"/>
      <c r="L259" s="12"/>
      <c r="M259" s="12"/>
      <c r="N259" s="12"/>
      <c r="O259" s="12"/>
      <c r="P259" s="12"/>
      <c r="Q259" s="12"/>
      <c r="R259" s="12"/>
      <c r="S259" s="12"/>
      <c r="T259" s="12"/>
      <c r="U259" s="12"/>
      <c r="V259" s="12"/>
      <c r="W259" s="12"/>
      <c r="X259" s="12"/>
      <c r="Y259" s="12"/>
      <c r="Z259" s="12"/>
      <c r="AA259" s="12"/>
      <c r="AB259" s="12"/>
      <c r="AC259" s="12"/>
      <c r="AD259" s="12"/>
    </row>
    <row r="260" spans="1:30">
      <c r="A260" s="10">
        <v>5</v>
      </c>
      <c r="B260" s="11" t="s">
        <v>271</v>
      </c>
      <c r="C260" s="6"/>
      <c r="D260" s="11" t="str">
        <f ca="1">IFERROR(__xludf.DUMMYFUNCTION("GOOGLETRANSLATE($B260,(""auto""),(""es""))"),"Retire la tira de cubierta (izquierda/derecha) - B8")</f>
        <v>Retire la tira de cubierta (izquierda/derecha) - B8</v>
      </c>
      <c r="E260" s="11" t="str">
        <f ca="1">IFERROR(__xludf.DUMMYFUNCTION("GOOGLETRANSLATE($B260,(""auto""),(""FR""))"),"Retirez la bande de couverture (gauche / droite) - B8")</f>
        <v>Retirez la bande de couverture (gauche / droite) - B8</v>
      </c>
      <c r="F260" s="11" t="str">
        <f ca="1">IFERROR(__xludf.DUMMYFUNCTION("GOOGLETRANSLATE($B260,(""auto""),(""IT""))"),"Rimuovere la striscia di copertura (sinistra/destra) - B8")</f>
        <v>Rimuovere la striscia di copertura (sinistra/destra) - B8</v>
      </c>
      <c r="G260" s="12"/>
      <c r="H260" s="12"/>
      <c r="I260" s="12"/>
      <c r="J260" s="12"/>
      <c r="K260" s="12"/>
      <c r="L260" s="12"/>
      <c r="M260" s="12"/>
      <c r="N260" s="12"/>
      <c r="O260" s="12"/>
      <c r="P260" s="12"/>
      <c r="Q260" s="12"/>
      <c r="R260" s="12"/>
      <c r="S260" s="12"/>
      <c r="T260" s="12"/>
      <c r="U260" s="12"/>
      <c r="V260" s="12"/>
      <c r="W260" s="12"/>
      <c r="X260" s="12"/>
      <c r="Y260" s="12"/>
      <c r="Z260" s="12"/>
      <c r="AA260" s="12"/>
      <c r="AB260" s="12"/>
      <c r="AC260" s="12"/>
      <c r="AD260" s="12"/>
    </row>
    <row r="261" spans="1:30">
      <c r="A261" s="10">
        <v>6</v>
      </c>
      <c r="B261" s="11" t="s">
        <v>272</v>
      </c>
      <c r="C261" s="6"/>
      <c r="D261" s="11" t="str">
        <f ca="1">IFERROR(__xludf.DUMMYFUNCTION("GOOGLETRANSLATE($B261,(""auto""),(""es""))"),"Retire el gancho - B9")</f>
        <v>Retire el gancho - B9</v>
      </c>
      <c r="E261" s="11" t="str">
        <f ca="1">IFERROR(__xludf.DUMMYFUNCTION("GOOGLETRANSLATE($B261,(""auto""),(""FR""))"),"Retirez le crochet - B9")</f>
        <v>Retirez le crochet - B9</v>
      </c>
      <c r="F261" s="11" t="str">
        <f ca="1">IFERROR(__xludf.DUMMYFUNCTION("GOOGLETRANSLATE($B261,(""auto""),(""IT""))"),"Rimuovi il gancio - B9")</f>
        <v>Rimuovi il gancio - B9</v>
      </c>
      <c r="G261" s="12"/>
      <c r="H261" s="12"/>
      <c r="I261" s="12"/>
      <c r="J261" s="12"/>
      <c r="K261" s="12"/>
      <c r="L261" s="12"/>
      <c r="M261" s="12"/>
      <c r="N261" s="12"/>
      <c r="O261" s="12"/>
      <c r="P261" s="12"/>
      <c r="Q261" s="12"/>
      <c r="R261" s="12"/>
      <c r="S261" s="12"/>
      <c r="T261" s="12"/>
      <c r="U261" s="12"/>
      <c r="V261" s="12"/>
      <c r="W261" s="12"/>
      <c r="X261" s="12"/>
      <c r="Y261" s="12"/>
      <c r="Z261" s="12"/>
      <c r="AA261" s="12"/>
      <c r="AB261" s="12"/>
      <c r="AC261" s="12"/>
      <c r="AD261" s="12"/>
    </row>
    <row r="262" spans="1:30">
      <c r="A262" s="10">
        <v>7</v>
      </c>
      <c r="B262" s="11" t="s">
        <v>273</v>
      </c>
      <c r="C262" s="6"/>
      <c r="D262" s="11" t="str">
        <f ca="1">IFERROR(__xludf.DUMMYFUNCTION("GOOGLETRANSLATE($B262,(""auto""),(""es""))"),"Retire la cubierta de bloqueo de energía - B10")</f>
        <v>Retire la cubierta de bloqueo de energía - B10</v>
      </c>
      <c r="E262" s="11" t="str">
        <f ca="1">IFERROR(__xludf.DUMMYFUNCTION("GOOGLETRANSLATE($B262,(""auto""),(""FR""))"),"Retirez le couvercle de verrouillage d'alimentation - B10")</f>
        <v>Retirez le couvercle de verrouillage d'alimentation - B10</v>
      </c>
      <c r="F262" s="11" t="str">
        <f ca="1">IFERROR(__xludf.DUMMYFUNCTION("GOOGLETRANSLATE($B262,(""auto""),(""IT""))"),"Rimuovere il coperchio del blocco di alimentazione - B10")</f>
        <v>Rimuovere il coperchio del blocco di alimentazione - B10</v>
      </c>
      <c r="G262" s="12"/>
      <c r="H262" s="12"/>
      <c r="I262" s="12"/>
      <c r="J262" s="12"/>
      <c r="K262" s="12"/>
      <c r="L262" s="12"/>
      <c r="M262" s="12"/>
      <c r="N262" s="12"/>
      <c r="O262" s="12"/>
      <c r="P262" s="12"/>
      <c r="Q262" s="12"/>
      <c r="R262" s="12"/>
      <c r="S262" s="12"/>
      <c r="T262" s="12"/>
      <c r="U262" s="12"/>
      <c r="V262" s="12"/>
      <c r="W262" s="12"/>
      <c r="X262" s="12"/>
      <c r="Y262" s="12"/>
      <c r="Z262" s="12"/>
      <c r="AA262" s="12"/>
      <c r="AB262" s="12"/>
      <c r="AC262" s="12"/>
      <c r="AD262" s="12"/>
    </row>
    <row r="263" spans="1:30">
      <c r="A263" s="10">
        <v>8</v>
      </c>
      <c r="B263" s="11" t="s">
        <v>277</v>
      </c>
      <c r="C263" s="6"/>
      <c r="D263" s="11" t="str">
        <f ca="1">IFERROR(__xludf.DUMMYFUNCTION("GOOGLETRANSLATE($B263,(""auto""),(""es""))"),"Retire la cubierta de la viga principal - B11")</f>
        <v>Retire la cubierta de la viga principal - B11</v>
      </c>
      <c r="E263" s="11" t="str">
        <f ca="1">IFERROR(__xludf.DUMMYFUNCTION("GOOGLETRANSLATE($B263,(""auto""),(""FR""))"),"Retirez le couvercle de la poutre principale - B11")</f>
        <v>Retirez le couvercle de la poutre principale - B11</v>
      </c>
      <c r="F263" s="11" t="str">
        <f ca="1">IFERROR(__xludf.DUMMYFUNCTION("GOOGLETRANSLATE($B263,(""auto""),(""IT""))"),"Rimuovere il coperchio della trave principale - B11")</f>
        <v>Rimuovere il coperchio della trave principale - B11</v>
      </c>
      <c r="G263" s="12"/>
      <c r="H263" s="12"/>
      <c r="I263" s="12"/>
      <c r="J263" s="12"/>
      <c r="K263" s="12"/>
      <c r="L263" s="12"/>
      <c r="M263" s="12"/>
      <c r="N263" s="12"/>
      <c r="O263" s="12"/>
      <c r="P263" s="12"/>
      <c r="Q263" s="12"/>
      <c r="R263" s="12"/>
      <c r="S263" s="12"/>
      <c r="T263" s="12"/>
      <c r="U263" s="12"/>
      <c r="V263" s="12"/>
      <c r="W263" s="12"/>
      <c r="X263" s="12"/>
      <c r="Y263" s="12"/>
      <c r="Z263" s="12"/>
      <c r="AA263" s="12"/>
      <c r="AB263" s="12"/>
      <c r="AC263" s="12"/>
      <c r="AD263" s="12"/>
    </row>
    <row r="264" spans="1:30">
      <c r="A264" s="10">
        <v>9</v>
      </c>
      <c r="B264" s="11" t="s">
        <v>377</v>
      </c>
      <c r="C264" s="6"/>
      <c r="D264" s="11" t="str">
        <f ca="1">IFERROR(__xludf.DUMMYFUNCTION("GOOGLETRANSLATE($B264,(""auto""),(""es""))"),"Retire el conjunto del interruptor izquierdo y derecho - A3, A4")</f>
        <v>Retire el conjunto del interruptor izquierdo y derecho - A3, A4</v>
      </c>
      <c r="E264" s="11" t="str">
        <f ca="1">IFERROR(__xludf.DUMMYFUNCTION("GOOGLETRANSLATE($B264,(""auto""),(""FR""))"),"Retirez l'ensemble de l'interrupteur gauche et droit - A3, A4")</f>
        <v>Retirez l'ensemble de l'interrupteur gauche et droit - A3, A4</v>
      </c>
      <c r="F264" s="11" t="str">
        <f ca="1">IFERROR(__xludf.DUMMYFUNCTION("GOOGLETRANSLATE($B264,(""auto""),(""IT""))"),"Rimuovere il gruppo interruttore sinistro e destro - A3, A4")</f>
        <v>Rimuovere il gruppo interruttore sinistro e destro - A3, A4</v>
      </c>
      <c r="G264" s="12"/>
      <c r="H264" s="12"/>
      <c r="I264" s="12"/>
      <c r="J264" s="12"/>
      <c r="K264" s="12"/>
      <c r="L264" s="12"/>
      <c r="M264" s="12"/>
      <c r="N264" s="12"/>
      <c r="O264" s="12"/>
      <c r="P264" s="12"/>
      <c r="Q264" s="12"/>
      <c r="R264" s="12"/>
      <c r="S264" s="12"/>
      <c r="T264" s="12"/>
      <c r="U264" s="12"/>
      <c r="V264" s="12"/>
      <c r="W264" s="12"/>
      <c r="X264" s="12"/>
      <c r="Y264" s="12"/>
      <c r="Z264" s="12"/>
      <c r="AA264" s="12"/>
      <c r="AB264" s="12"/>
      <c r="AC264" s="12"/>
      <c r="AD264" s="12"/>
    </row>
    <row r="265" spans="1:30">
      <c r="A265" s="10">
        <v>10</v>
      </c>
      <c r="B265" s="11" t="s">
        <v>378</v>
      </c>
      <c r="C265" s="6"/>
      <c r="D265" s="11" t="str">
        <f ca="1">IFERROR(__xludf.DUMMYFUNCTION("GOOGLETRANSLATE($B265,(""auto""),(""es""))"),"Quite el manillar - B33")</f>
        <v>Quite el manillar - B33</v>
      </c>
      <c r="E265" s="11" t="str">
        <f ca="1">IFERROR(__xludf.DUMMYFUNCTION("GOOGLETRANSLATE($B265,(""auto""),(""FR""))"),"Enlever le guidon - B33")</f>
        <v>Enlever le guidon - B33</v>
      </c>
      <c r="F265" s="11" t="str">
        <f ca="1">IFERROR(__xludf.DUMMYFUNCTION("GOOGLETRANSLATE($B265,(""auto""),(""IT""))"),"Togliti il ​​manubrio - B33")</f>
        <v>Togliti il ​​manubrio - B33</v>
      </c>
      <c r="G265" s="12"/>
      <c r="H265" s="12"/>
      <c r="I265" s="12"/>
      <c r="J265" s="12"/>
      <c r="K265" s="12"/>
      <c r="L265" s="12"/>
      <c r="M265" s="12"/>
      <c r="N265" s="12"/>
      <c r="O265" s="12"/>
      <c r="P265" s="12"/>
      <c r="Q265" s="12"/>
      <c r="R265" s="12"/>
      <c r="S265" s="12"/>
      <c r="T265" s="12"/>
      <c r="U265" s="12"/>
      <c r="V265" s="12"/>
      <c r="W265" s="12"/>
      <c r="X265" s="12"/>
      <c r="Y265" s="12"/>
      <c r="Z265" s="12"/>
      <c r="AA265" s="12"/>
      <c r="AB265" s="12"/>
      <c r="AC265" s="12"/>
      <c r="AD265" s="12"/>
    </row>
    <row r="266" spans="1:30">
      <c r="A266" s="69" t="s">
        <v>150</v>
      </c>
      <c r="B266" s="70" t="s">
        <v>151</v>
      </c>
      <c r="C266" s="70" t="s">
        <v>152</v>
      </c>
      <c r="D266" s="70" t="str">
        <f ca="1">IFERROR(__xludf.DUMMYFUNCTION("GOOGLETRANSLATE(B266,(""auto""),(""es""))"),"Descripción")</f>
        <v>Descripción</v>
      </c>
      <c r="E266" s="70" t="str">
        <f ca="1">IFERROR(__xludf.DUMMYFUNCTION("GOOGLETRANSLATE(B266,(""auto""),(""fr""))"),"Description")</f>
        <v>Description</v>
      </c>
      <c r="F266" s="70" t="str">
        <f ca="1">IFERROR(__xludf.DUMMYFUNCTION("GOOGLETRANSLATE(D266,(""auto""),(""IT""))"),"Descrizione")</f>
        <v>Descrizione</v>
      </c>
    </row>
    <row r="267" spans="1:30" ht="89.25" customHeight="1">
      <c r="A267" s="10">
        <v>1</v>
      </c>
      <c r="B267" s="11" t="s">
        <v>379</v>
      </c>
      <c r="C267" s="6"/>
      <c r="D267" s="11" t="str">
        <f ca="1">IFERROR(__xludf.DUMMYFUNCTION("GOOGLETRANSLATE($B267,(""auto""),(""es""))"),"
Retire el 1 perno en el círculo rojo y retire la rueda trasera con una llave de enchufe de 14 mm")</f>
        <v xml:space="preserve">
Retire el 1 perno en el círculo rojo y retire la rueda trasera con una llave de enchufe de 14 mm</v>
      </c>
      <c r="E267" s="11" t="str">
        <f ca="1">IFERROR(__xludf.DUMMYFUNCTION("GOOGLETRANSLATE($B267,(""auto""),(""FR""))"),"
Retirez le boulon 1 dans le cercle rouge et retirez la roue arrière avec une clé à douille de 14 mm")</f>
        <v xml:space="preserve">
Retirez le boulon 1 dans le cercle rouge et retirez la roue arrière avec une clé à douille de 14 mm</v>
      </c>
      <c r="F267" s="11" t="str">
        <f ca="1">IFERROR(__xludf.DUMMYFUNCTION("GOOGLETRANSLATE($B267,(""auto""),(""IT""))"),"
Rimuovere il bullone da 1 nel cerchio rosso e rimuovere la ruota posteriore con una chiave di presa da 14 mm")</f>
        <v xml:space="preserve">
Rimuovere il bullone da 1 nel cerchio rosso e rimuovere la ruota posteriore con una chiave di presa da 14 mm</v>
      </c>
      <c r="G267" s="12"/>
      <c r="H267" s="12"/>
      <c r="I267" s="12"/>
      <c r="J267" s="12"/>
      <c r="K267" s="12"/>
      <c r="L267" s="12"/>
      <c r="M267" s="12"/>
      <c r="N267" s="12"/>
      <c r="O267" s="12"/>
      <c r="P267" s="12"/>
      <c r="Q267" s="12"/>
      <c r="R267" s="12"/>
      <c r="S267" s="12"/>
      <c r="T267" s="12"/>
      <c r="U267" s="12"/>
      <c r="V267" s="12"/>
      <c r="W267" s="12"/>
      <c r="X267" s="12"/>
      <c r="Y267" s="12"/>
      <c r="Z267" s="12"/>
      <c r="AA267" s="12"/>
      <c r="AB267" s="12"/>
      <c r="AC267" s="12"/>
      <c r="AD267" s="12"/>
    </row>
    <row r="268" spans="1:30" ht="26.25" customHeight="1">
      <c r="A268" s="73"/>
      <c r="B268" s="73" t="s">
        <v>380</v>
      </c>
      <c r="C268" s="73"/>
      <c r="D268" s="73" t="s">
        <v>381</v>
      </c>
      <c r="E268" s="73" t="str">
        <f ca="1">IFERROR(__xludf.DUMMYFUNCTION("GOOGLETRANSLATE($B268,(""auto""),(""FR""))"),"B36 - tige de direction")</f>
        <v>B36 - tige de direction</v>
      </c>
      <c r="F268" s="73" t="s">
        <v>382</v>
      </c>
      <c r="G268" s="9"/>
      <c r="H268" s="9"/>
      <c r="I268" s="9"/>
      <c r="J268" s="9"/>
      <c r="K268" s="9"/>
      <c r="L268" s="9"/>
      <c r="M268" s="9"/>
      <c r="N268" s="9"/>
      <c r="O268" s="9"/>
      <c r="P268" s="9"/>
      <c r="Q268" s="9"/>
      <c r="R268" s="9"/>
      <c r="S268" s="9"/>
      <c r="T268" s="9"/>
      <c r="U268" s="9"/>
      <c r="V268" s="9"/>
      <c r="W268" s="9"/>
      <c r="X268" s="9"/>
      <c r="Y268" s="9"/>
      <c r="Z268" s="9"/>
      <c r="AA268" s="9"/>
      <c r="AB268" s="9"/>
      <c r="AC268" s="9"/>
      <c r="AD268" s="9"/>
    </row>
    <row r="269" spans="1:30">
      <c r="A269" s="69" t="s">
        <v>145</v>
      </c>
      <c r="B269" s="70" t="s">
        <v>146</v>
      </c>
      <c r="C269" s="70" t="s">
        <v>147</v>
      </c>
      <c r="D269" s="70" t="str">
        <f ca="1">IFERROR(__xludf.DUMMYFUNCTION("GOOGLETRANSLATE(B269,(""auto""),(""es""))"),"Preparación:")</f>
        <v>Preparación:</v>
      </c>
      <c r="E269" s="70" t="str">
        <f ca="1">IFERROR(__xludf.DUMMYFUNCTION("GOOGLETRANSLATE(B269,(""auto""),(""fr""))"),"Préparation:")</f>
        <v>Préparation:</v>
      </c>
      <c r="F269" s="70" t="str">
        <f ca="1">IFERROR(__xludf.DUMMYFUNCTION("GOOGLETRANSLATE(D269,(""auto""),(""IT""))"),"Preparazione:")</f>
        <v>Preparazione:</v>
      </c>
    </row>
    <row r="270" spans="1:30">
      <c r="A270" s="10">
        <v>1</v>
      </c>
      <c r="B270" s="11" t="s">
        <v>156</v>
      </c>
      <c r="C270" s="6"/>
      <c r="D270" s="11" t="str">
        <f ca="1">IFERROR(__xludf.DUMMYFUNCTION("GOOGLETRANSLATE($B270,(""auto""),(""es""))"),"Retire la canasta delantera - B0")</f>
        <v>Retire la canasta delantera - B0</v>
      </c>
      <c r="E270" s="11" t="str">
        <f ca="1">IFERROR(__xludf.DUMMYFUNCTION("GOOGLETRANSLATE($B270,(""auto""),(""FR""))"),"Retirez le panier avant - B0")</f>
        <v>Retirez le panier avant - B0</v>
      </c>
      <c r="F270" s="11" t="str">
        <f ca="1">IFERROR(__xludf.DUMMYFUNCTION("GOOGLETRANSLATE($B270,(""auto""),(""IT""))"),"Rimuovere il cestino anteriore - B0")</f>
        <v>Rimuovere il cestino anteriore - B0</v>
      </c>
      <c r="G270" s="12"/>
      <c r="H270" s="12"/>
      <c r="I270" s="12"/>
      <c r="J270" s="12"/>
      <c r="K270" s="12"/>
      <c r="L270" s="12"/>
      <c r="M270" s="12"/>
      <c r="N270" s="12"/>
      <c r="O270" s="12"/>
      <c r="P270" s="12"/>
      <c r="Q270" s="12"/>
      <c r="R270" s="12"/>
      <c r="S270" s="12"/>
      <c r="T270" s="12"/>
      <c r="U270" s="12"/>
      <c r="V270" s="12"/>
      <c r="W270" s="12"/>
      <c r="X270" s="12"/>
      <c r="Y270" s="12"/>
      <c r="Z270" s="12"/>
      <c r="AA270" s="12"/>
      <c r="AB270" s="12"/>
      <c r="AC270" s="12"/>
      <c r="AD270" s="12"/>
    </row>
    <row r="271" spans="1:30">
      <c r="A271" s="10">
        <v>2</v>
      </c>
      <c r="B271" s="11" t="s">
        <v>149</v>
      </c>
      <c r="C271" s="6"/>
      <c r="D271" s="11" t="str">
        <f ca="1">IFERROR(__xludf.DUMMYFUNCTION("GOOGLETRANSLATE($B271,(""auto""),(""es""))"),"Retire la cubierta frontal - B1")</f>
        <v>Retire la cubierta frontal - B1</v>
      </c>
      <c r="E271" s="11" t="str">
        <f ca="1">IFERROR(__xludf.DUMMYFUNCTION("GOOGLETRANSLATE($B271,(""auto""),(""FR""))"),"Retirez le couvercle avant - B1")</f>
        <v>Retirez le couvercle avant - B1</v>
      </c>
      <c r="F271" s="11" t="str">
        <f ca="1">IFERROR(__xludf.DUMMYFUNCTION("GOOGLETRANSLATE($B271,(""auto""),(""IT""))"),"Rimuovere il coperchio anteriore - B1")</f>
        <v>Rimuovere il coperchio anteriore - B1</v>
      </c>
      <c r="G271" s="12"/>
      <c r="H271" s="12"/>
      <c r="I271" s="12"/>
      <c r="J271" s="12"/>
      <c r="K271" s="12"/>
      <c r="L271" s="12"/>
      <c r="M271" s="12"/>
      <c r="N271" s="12"/>
      <c r="O271" s="12"/>
      <c r="P271" s="12"/>
      <c r="Q271" s="12"/>
      <c r="R271" s="12"/>
      <c r="S271" s="12"/>
      <c r="T271" s="12"/>
      <c r="U271" s="12"/>
      <c r="V271" s="12"/>
      <c r="W271" s="12"/>
      <c r="X271" s="12"/>
      <c r="Y271" s="12"/>
      <c r="Z271" s="12"/>
      <c r="AA271" s="12"/>
      <c r="AB271" s="12"/>
      <c r="AC271" s="12"/>
      <c r="AD271" s="12"/>
    </row>
    <row r="272" spans="1:30">
      <c r="A272" s="10">
        <v>3</v>
      </c>
      <c r="B272" s="11" t="s">
        <v>228</v>
      </c>
      <c r="C272" s="6"/>
      <c r="D272" s="11" t="str">
        <f ca="1">IFERROR(__xludf.DUMMYFUNCTION("GOOGLETRANSLATE($B272,(""auto""),(""es""))"),"Retire los escudos delanteros izquierdo y derecho - B5")</f>
        <v>Retire los escudos delanteros izquierdo y derecho - B5</v>
      </c>
      <c r="E272" s="11" t="str">
        <f ca="1">IFERROR(__xludf.DUMMYFUNCTION("GOOGLETRANSLATE($B272,(""auto""),(""FR""))"),"Retirez les boucliers avant gauche et droit - B5")</f>
        <v>Retirez les boucliers avant gauche et droit - B5</v>
      </c>
      <c r="F272" s="11" t="str">
        <f ca="1">IFERROR(__xludf.DUMMYFUNCTION("GOOGLETRANSLATE($B272,(""auto""),(""IT""))"),"Rimuovere gli scudi anteriori sinistro e destro - B5")</f>
        <v>Rimuovere gli scudi anteriori sinistro e destro - B5</v>
      </c>
      <c r="G272" s="12"/>
      <c r="H272" s="12"/>
      <c r="I272" s="12"/>
      <c r="J272" s="12"/>
      <c r="K272" s="12"/>
      <c r="L272" s="12"/>
      <c r="M272" s="12"/>
      <c r="N272" s="12"/>
      <c r="O272" s="12"/>
      <c r="P272" s="12"/>
      <c r="Q272" s="12"/>
      <c r="R272" s="12"/>
      <c r="S272" s="12"/>
      <c r="T272" s="12"/>
      <c r="U272" s="12"/>
      <c r="V272" s="12"/>
      <c r="W272" s="12"/>
      <c r="X272" s="12"/>
      <c r="Y272" s="12"/>
      <c r="Z272" s="12"/>
      <c r="AA272" s="12"/>
      <c r="AB272" s="12"/>
      <c r="AC272" s="12"/>
      <c r="AD272" s="12"/>
    </row>
    <row r="273" spans="1:30">
      <c r="A273" s="10">
        <v>4</v>
      </c>
      <c r="B273" s="11" t="s">
        <v>229</v>
      </c>
      <c r="C273" s="6"/>
      <c r="D273" s="11" t="str">
        <f ca="1">IFERROR(__xludf.DUMMYFUNCTION("GOOGLETRANSLATE($B273,(""auto""),(""es""))"),"Quítate el pedal - B7")</f>
        <v>Quítate el pedal - B7</v>
      </c>
      <c r="E273" s="11" t="str">
        <f ca="1">IFERROR(__xludf.DUMMYFUNCTION("GOOGLETRANSLATE($B273,(""auto""),(""FR""))"),"Enlever la pédale - B7")</f>
        <v>Enlever la pédale - B7</v>
      </c>
      <c r="F273" s="11" t="str">
        <f ca="1">IFERROR(__xludf.DUMMYFUNCTION("GOOGLETRANSLATE($B273,(""auto""),(""IT""))"),"Togli il pedale - B7")</f>
        <v>Togli il pedale - B7</v>
      </c>
      <c r="G273" s="12"/>
      <c r="H273" s="12"/>
      <c r="I273" s="12"/>
      <c r="J273" s="12"/>
      <c r="K273" s="12"/>
      <c r="L273" s="12"/>
      <c r="M273" s="12"/>
      <c r="N273" s="12"/>
      <c r="O273" s="12"/>
      <c r="P273" s="12"/>
      <c r="Q273" s="12"/>
      <c r="R273" s="12"/>
      <c r="S273" s="12"/>
      <c r="T273" s="12"/>
      <c r="U273" s="12"/>
      <c r="V273" s="12"/>
      <c r="W273" s="12"/>
      <c r="X273" s="12"/>
      <c r="Y273" s="12"/>
      <c r="Z273" s="12"/>
      <c r="AA273" s="12"/>
      <c r="AB273" s="12"/>
      <c r="AC273" s="12"/>
      <c r="AD273" s="12"/>
    </row>
    <row r="274" spans="1:30">
      <c r="A274" s="10">
        <v>5</v>
      </c>
      <c r="B274" s="11" t="s">
        <v>271</v>
      </c>
      <c r="C274" s="6"/>
      <c r="D274" s="11" t="str">
        <f ca="1">IFERROR(__xludf.DUMMYFUNCTION("GOOGLETRANSLATE($B274,(""auto""),(""es""))"),"Retire la tira de cubierta (izquierda/derecha) - B8")</f>
        <v>Retire la tira de cubierta (izquierda/derecha) - B8</v>
      </c>
      <c r="E274" s="11" t="str">
        <f ca="1">IFERROR(__xludf.DUMMYFUNCTION("GOOGLETRANSLATE($B274,(""auto""),(""FR""))"),"Retirez la bande de couverture (gauche / droite) - B8")</f>
        <v>Retirez la bande de couverture (gauche / droite) - B8</v>
      </c>
      <c r="F274" s="11" t="str">
        <f ca="1">IFERROR(__xludf.DUMMYFUNCTION("GOOGLETRANSLATE($B274,(""auto""),(""IT""))"),"Rimuovere la striscia di copertura (sinistra/destra) - B8")</f>
        <v>Rimuovere la striscia di copertura (sinistra/destra) - B8</v>
      </c>
      <c r="G274" s="12"/>
      <c r="H274" s="12"/>
      <c r="I274" s="12"/>
      <c r="J274" s="12"/>
      <c r="K274" s="12"/>
      <c r="L274" s="12"/>
      <c r="M274" s="12"/>
      <c r="N274" s="12"/>
      <c r="O274" s="12"/>
      <c r="P274" s="12"/>
      <c r="Q274" s="12"/>
      <c r="R274" s="12"/>
      <c r="S274" s="12"/>
      <c r="T274" s="12"/>
      <c r="U274" s="12"/>
      <c r="V274" s="12"/>
      <c r="W274" s="12"/>
      <c r="X274" s="12"/>
      <c r="Y274" s="12"/>
      <c r="Z274" s="12"/>
      <c r="AA274" s="12"/>
      <c r="AB274" s="12"/>
      <c r="AC274" s="12"/>
      <c r="AD274" s="12"/>
    </row>
    <row r="275" spans="1:30">
      <c r="A275" s="10">
        <v>6</v>
      </c>
      <c r="B275" s="11" t="s">
        <v>272</v>
      </c>
      <c r="C275" s="6"/>
      <c r="D275" s="11" t="str">
        <f ca="1">IFERROR(__xludf.DUMMYFUNCTION("GOOGLETRANSLATE($B275,(""auto""),(""es""))"),"Retire el gancho - B9")</f>
        <v>Retire el gancho - B9</v>
      </c>
      <c r="E275" s="11" t="str">
        <f ca="1">IFERROR(__xludf.DUMMYFUNCTION("GOOGLETRANSLATE($B275,(""auto""),(""FR""))"),"Retirez le crochet - B9")</f>
        <v>Retirez le crochet - B9</v>
      </c>
      <c r="F275" s="11" t="str">
        <f ca="1">IFERROR(__xludf.DUMMYFUNCTION("GOOGLETRANSLATE($B275,(""auto""),(""IT""))"),"Rimuovi il gancio - B9")</f>
        <v>Rimuovi il gancio - B9</v>
      </c>
      <c r="G275" s="12"/>
      <c r="H275" s="12"/>
      <c r="I275" s="12"/>
      <c r="J275" s="12"/>
      <c r="K275" s="12"/>
      <c r="L275" s="12"/>
      <c r="M275" s="12"/>
      <c r="N275" s="12"/>
      <c r="O275" s="12"/>
      <c r="P275" s="12"/>
      <c r="Q275" s="12"/>
      <c r="R275" s="12"/>
      <c r="S275" s="12"/>
      <c r="T275" s="12"/>
      <c r="U275" s="12"/>
      <c r="V275" s="12"/>
      <c r="W275" s="12"/>
      <c r="X275" s="12"/>
      <c r="Y275" s="12"/>
      <c r="Z275" s="12"/>
      <c r="AA275" s="12"/>
      <c r="AB275" s="12"/>
      <c r="AC275" s="12"/>
      <c r="AD275" s="12"/>
    </row>
    <row r="276" spans="1:30">
      <c r="A276" s="10">
        <v>7</v>
      </c>
      <c r="B276" s="11" t="s">
        <v>273</v>
      </c>
      <c r="C276" s="6"/>
      <c r="D276" s="11" t="str">
        <f ca="1">IFERROR(__xludf.DUMMYFUNCTION("GOOGLETRANSLATE($B276,(""auto""),(""es""))"),"Retire la cubierta de bloqueo de energía - B10")</f>
        <v>Retire la cubierta de bloqueo de energía - B10</v>
      </c>
      <c r="E276" s="11" t="str">
        <f ca="1">IFERROR(__xludf.DUMMYFUNCTION("GOOGLETRANSLATE($B276,(""auto""),(""FR""))"),"Retirez le couvercle de verrouillage d'alimentation - B10")</f>
        <v>Retirez le couvercle de verrouillage d'alimentation - B10</v>
      </c>
      <c r="F276" s="11" t="str">
        <f ca="1">IFERROR(__xludf.DUMMYFUNCTION("GOOGLETRANSLATE($B276,(""auto""),(""IT""))"),"Rimuovere il coperchio del blocco di alimentazione - B10")</f>
        <v>Rimuovere il coperchio del blocco di alimentazione - B10</v>
      </c>
      <c r="G276" s="12"/>
      <c r="H276" s="12"/>
      <c r="I276" s="12"/>
      <c r="J276" s="12"/>
      <c r="K276" s="12"/>
      <c r="L276" s="12"/>
      <c r="M276" s="12"/>
      <c r="N276" s="12"/>
      <c r="O276" s="12"/>
      <c r="P276" s="12"/>
      <c r="Q276" s="12"/>
      <c r="R276" s="12"/>
      <c r="S276" s="12"/>
      <c r="T276" s="12"/>
      <c r="U276" s="12"/>
      <c r="V276" s="12"/>
      <c r="W276" s="12"/>
      <c r="X276" s="12"/>
      <c r="Y276" s="12"/>
      <c r="Z276" s="12"/>
      <c r="AA276" s="12"/>
      <c r="AB276" s="12"/>
      <c r="AC276" s="12"/>
      <c r="AD276" s="12"/>
    </row>
    <row r="277" spans="1:30">
      <c r="A277" s="10">
        <v>8</v>
      </c>
      <c r="B277" s="11" t="s">
        <v>277</v>
      </c>
      <c r="C277" s="6"/>
      <c r="D277" s="11" t="str">
        <f ca="1">IFERROR(__xludf.DUMMYFUNCTION("GOOGLETRANSLATE($B277,(""auto""),(""es""))"),"Retire la cubierta de la viga principal - B11")</f>
        <v>Retire la cubierta de la viga principal - B11</v>
      </c>
      <c r="E277" s="11" t="str">
        <f ca="1">IFERROR(__xludf.DUMMYFUNCTION("GOOGLETRANSLATE($B277,(""auto""),(""FR""))"),"Retirez le couvercle de la poutre principale - B11")</f>
        <v>Retirez le couvercle de la poutre principale - B11</v>
      </c>
      <c r="F277" s="11" t="str">
        <f ca="1">IFERROR(__xludf.DUMMYFUNCTION("GOOGLETRANSLATE($B277,(""auto""),(""IT""))"),"Rimuovere il coperchio della trave principale - B11")</f>
        <v>Rimuovere il coperchio della trave principale - B11</v>
      </c>
      <c r="G277" s="12"/>
      <c r="H277" s="12"/>
      <c r="I277" s="12"/>
      <c r="J277" s="12"/>
      <c r="K277" s="12"/>
      <c r="L277" s="12"/>
      <c r="M277" s="12"/>
      <c r="N277" s="12"/>
      <c r="O277" s="12"/>
      <c r="P277" s="12"/>
      <c r="Q277" s="12"/>
      <c r="R277" s="12"/>
      <c r="S277" s="12"/>
      <c r="T277" s="12"/>
      <c r="U277" s="12"/>
      <c r="V277" s="12"/>
      <c r="W277" s="12"/>
      <c r="X277" s="12"/>
      <c r="Y277" s="12"/>
      <c r="Z277" s="12"/>
      <c r="AA277" s="12"/>
      <c r="AB277" s="12"/>
      <c r="AC277" s="12"/>
      <c r="AD277" s="12"/>
    </row>
    <row r="278" spans="1:30">
      <c r="A278" s="10">
        <v>9</v>
      </c>
      <c r="B278" s="11" t="s">
        <v>377</v>
      </c>
      <c r="C278" s="6"/>
      <c r="D278" s="11" t="str">
        <f ca="1">IFERROR(__xludf.DUMMYFUNCTION("GOOGLETRANSLATE($B278,(""auto""),(""es""))"),"Retire el conjunto del interruptor izquierdo y derecho - A3, A4")</f>
        <v>Retire el conjunto del interruptor izquierdo y derecho - A3, A4</v>
      </c>
      <c r="E278" s="11" t="str">
        <f ca="1">IFERROR(__xludf.DUMMYFUNCTION("GOOGLETRANSLATE($B278,(""auto""),(""FR""))"),"Retirez l'ensemble de l'interrupteur gauche et droit - A3, A4")</f>
        <v>Retirez l'ensemble de l'interrupteur gauche et droit - A3, A4</v>
      </c>
      <c r="F278" s="11" t="str">
        <f ca="1">IFERROR(__xludf.DUMMYFUNCTION("GOOGLETRANSLATE($B278,(""auto""),(""IT""))"),"Rimuovere il gruppo interruttore sinistro e destro - A3, A4")</f>
        <v>Rimuovere il gruppo interruttore sinistro e destro - A3, A4</v>
      </c>
      <c r="G278" s="12"/>
      <c r="H278" s="12"/>
      <c r="I278" s="12"/>
      <c r="J278" s="12"/>
      <c r="K278" s="12"/>
      <c r="L278" s="12"/>
      <c r="M278" s="12"/>
      <c r="N278" s="12"/>
      <c r="O278" s="12"/>
      <c r="P278" s="12"/>
      <c r="Q278" s="12"/>
      <c r="R278" s="12"/>
      <c r="S278" s="12"/>
      <c r="T278" s="12"/>
      <c r="U278" s="12"/>
      <c r="V278" s="12"/>
      <c r="W278" s="12"/>
      <c r="X278" s="12"/>
      <c r="Y278" s="12"/>
      <c r="Z278" s="12"/>
      <c r="AA278" s="12"/>
      <c r="AB278" s="12"/>
      <c r="AC278" s="12"/>
      <c r="AD278" s="12"/>
    </row>
    <row r="279" spans="1:30">
      <c r="A279" s="10">
        <v>10</v>
      </c>
      <c r="B279" s="11" t="s">
        <v>378</v>
      </c>
      <c r="C279" s="6"/>
      <c r="D279" s="11" t="str">
        <f ca="1">IFERROR(__xludf.DUMMYFUNCTION("GOOGLETRANSLATE($B279,(""auto""),(""es""))"),"Quite el manillar - B33")</f>
        <v>Quite el manillar - B33</v>
      </c>
      <c r="E279" s="11" t="str">
        <f ca="1">IFERROR(__xludf.DUMMYFUNCTION("GOOGLETRANSLATE($B279,(""auto""),(""FR""))"),"Enlever le guidon - B33")</f>
        <v>Enlever le guidon - B33</v>
      </c>
      <c r="F279" s="11" t="str">
        <f ca="1">IFERROR(__xludf.DUMMYFUNCTION("GOOGLETRANSLATE($B279,(""auto""),(""IT""))"),"Togliti il ​​manubrio - B33")</f>
        <v>Togliti il ​​manubrio - B33</v>
      </c>
      <c r="G279" s="12"/>
      <c r="H279" s="12"/>
      <c r="I279" s="12"/>
      <c r="J279" s="12"/>
      <c r="K279" s="12"/>
      <c r="L279" s="12"/>
      <c r="M279" s="12"/>
      <c r="N279" s="12"/>
      <c r="O279" s="12"/>
      <c r="P279" s="12"/>
      <c r="Q279" s="12"/>
      <c r="R279" s="12"/>
      <c r="S279" s="12"/>
      <c r="T279" s="12"/>
      <c r="U279" s="12"/>
      <c r="V279" s="12"/>
      <c r="W279" s="12"/>
      <c r="X279" s="12"/>
      <c r="Y279" s="12"/>
      <c r="Z279" s="12"/>
      <c r="AA279" s="12"/>
      <c r="AB279" s="12"/>
      <c r="AC279" s="12"/>
      <c r="AD279" s="12"/>
    </row>
    <row r="280" spans="1:30">
      <c r="A280" s="10">
        <v>11</v>
      </c>
      <c r="B280" s="11" t="s">
        <v>383</v>
      </c>
      <c r="C280" s="6"/>
      <c r="D280" s="11" t="str">
        <f ca="1">IFERROR(__xludf.DUMMYFUNCTION("GOOGLETRANSLATE($B280,(""auto""),(""es""))"),"Retire el Hanlde Post Comp - B35")</f>
        <v>Retire el Hanlde Post Comp - B35</v>
      </c>
      <c r="E280" s="11" t="str">
        <f ca="1">IFERROR(__xludf.DUMMYFUNCTION("GOOGLETRANSLATE($B280,(""auto""),(""FR""))"),"Retirez le Hanlde Post Comp - B35")</f>
        <v>Retirez le Hanlde Post Comp - B35</v>
      </c>
      <c r="F280" s="11" t="str">
        <f ca="1">IFERROR(__xludf.DUMMYFUNCTION("GOOGLETRANSLATE($B280,(""auto""),(""IT""))"),"Rimuovi l'Hanlde Post Comp - B35")</f>
        <v>Rimuovi l'Hanlde Post Comp - B35</v>
      </c>
      <c r="G280" s="12"/>
      <c r="H280" s="12"/>
      <c r="I280" s="12"/>
      <c r="J280" s="12"/>
      <c r="K280" s="12"/>
      <c r="L280" s="12"/>
      <c r="M280" s="12"/>
      <c r="N280" s="12"/>
      <c r="O280" s="12"/>
      <c r="P280" s="12"/>
      <c r="Q280" s="12"/>
      <c r="R280" s="12"/>
      <c r="S280" s="12"/>
      <c r="T280" s="12"/>
      <c r="U280" s="12"/>
      <c r="V280" s="12"/>
      <c r="W280" s="12"/>
      <c r="X280" s="12"/>
      <c r="Y280" s="12"/>
      <c r="Z280" s="12"/>
      <c r="AA280" s="12"/>
      <c r="AB280" s="12"/>
      <c r="AC280" s="12"/>
      <c r="AD280" s="12"/>
    </row>
    <row r="281" spans="1:30">
      <c r="A281" s="69" t="s">
        <v>150</v>
      </c>
      <c r="B281" s="70" t="s">
        <v>151</v>
      </c>
      <c r="C281" s="70" t="s">
        <v>152</v>
      </c>
      <c r="D281" s="70" t="str">
        <f ca="1">IFERROR(__xludf.DUMMYFUNCTION("GOOGLETRANSLATE(B281,(""auto""),(""es""))"),"Descripción")</f>
        <v>Descripción</v>
      </c>
      <c r="E281" s="70" t="str">
        <f ca="1">IFERROR(__xludf.DUMMYFUNCTION("GOOGLETRANSLATE(B281,(""auto""),(""fr""))"),"Description")</f>
        <v>Description</v>
      </c>
      <c r="F281" s="70" t="str">
        <f ca="1">IFERROR(__xludf.DUMMYFUNCTION("GOOGLETRANSLATE(D281,(""auto""),(""IT""))"),"Descrizione")</f>
        <v>Descrizione</v>
      </c>
    </row>
    <row r="282" spans="1:30" ht="107.25" customHeight="1">
      <c r="A282" s="10">
        <v>1</v>
      </c>
      <c r="B282" s="11" t="s">
        <v>384</v>
      </c>
      <c r="C282" s="6"/>
      <c r="D282" s="11" t="str">
        <f ca="1">IFERROR(__xludf.DUMMYFUNCTION("GOOGLETRANSLATE($B282,(""auto""),(""es""))"),"
Retire el conjunto de la tuerca de bloqueo del vástago de dirección en la secuencia que se muestra en la figura. Retire el vástago de dirección (1) con una herramienta especial. Llave de llave ajustable, 2. llave de gancho)")</f>
        <v xml:space="preserve">
Retire el conjunto de la tuerca de bloqueo del vástago de dirección en la secuencia que se muestra en la figura. Retire el vástago de dirección (1) con una herramienta especial. Llave de llave ajustable, 2. llave de gancho)</v>
      </c>
      <c r="E282" s="11" t="str">
        <f ca="1">IFERROR(__xludf.DUMMYFUNCTION("GOOGLETRANSLATE($B282,(""auto""),(""FR""))"),"
Retirez l'ensemble d'écrou de verrouillage de la tige de direction dans la séquence illustrée sur la figure. Retirez la tige de direction (1) avec un outil spécial. Clé à réglage réglable, 2. clé à crochet)")</f>
        <v xml:space="preserve">
Retirez l'ensemble d'écrou de verrouillage de la tige de direction dans la séquence illustrée sur la figure. Retirez la tige de direction (1) avec un outil spécial. Clé à réglage réglable, 2. clé à crochet)</v>
      </c>
      <c r="F282" s="11" t="str">
        <f ca="1">IFERROR(__xludf.DUMMYFUNCTION("GOOGLETRANSLATE($B282,(""auto""),(""IT""))"),"
Rimuovere il gruppo da dado di blocco dello stelo dello sterzo nella sequenza mostrata nella figura. Rimuovere lo stelo dello sterzo (1) con uno strumento speciale. Chiavita regolabile, 2. Chiave di gancio)")</f>
        <v xml:space="preserve">
Rimuovere il gruppo da dado di blocco dello stelo dello sterzo nella sequenza mostrata nella figura. Rimuovere lo stelo dello sterzo (1) con uno strumento speciale. Chiavita regolabile, 2. Chiave di gancio)</v>
      </c>
      <c r="G282" s="12"/>
      <c r="H282" s="12"/>
      <c r="I282" s="12"/>
      <c r="J282" s="12"/>
      <c r="K282" s="12"/>
      <c r="L282" s="12"/>
      <c r="M282" s="12"/>
      <c r="N282" s="12"/>
      <c r="O282" s="12"/>
      <c r="P282" s="12"/>
      <c r="Q282" s="12"/>
      <c r="R282" s="12"/>
      <c r="S282" s="12"/>
      <c r="T282" s="12"/>
      <c r="U282" s="12"/>
      <c r="V282" s="12"/>
      <c r="W282" s="12"/>
      <c r="X282" s="12"/>
      <c r="Y282" s="12"/>
      <c r="Z282" s="12"/>
      <c r="AA282" s="12"/>
      <c r="AB282" s="12"/>
      <c r="AC282" s="12"/>
      <c r="AD282" s="12"/>
    </row>
    <row r="283" spans="1:30" ht="83.25" customHeight="1">
      <c r="A283" s="10">
        <v>2</v>
      </c>
      <c r="B283" s="11" t="s">
        <v>385</v>
      </c>
      <c r="C283" s="6"/>
      <c r="D283" s="11" t="str">
        <f ca="1">IFERROR(__xludf.DUMMYFUNCTION("GOOGLETRANSLATE($B283,(""auto""),(""es""))"),"
Hacia abajo, saca el tallo de la dirección")</f>
        <v xml:space="preserve">
Hacia abajo, saca el tallo de la dirección</v>
      </c>
      <c r="E283" s="11" t="str">
        <f ca="1">IFERROR(__xludf.DUMMYFUNCTION("GOOGLETRANSLATE($B283,(""auto""),(""FR""))"),"
Vers le bas, retirez la tige de direction")</f>
        <v xml:space="preserve">
Vers le bas, retirez la tige de direction</v>
      </c>
      <c r="F283" s="11" t="str">
        <f ca="1">IFERROR(__xludf.DUMMYFUNCTION("GOOGLETRANSLATE($B283,(""auto""),(""IT""))"),"
Verso il basso, elimina lo stelo dello sterzo")</f>
        <v xml:space="preserve">
Verso il basso, elimina lo stelo dello sterzo</v>
      </c>
      <c r="G283" s="12"/>
      <c r="H283" s="12"/>
      <c r="I283" s="12"/>
      <c r="J283" s="12"/>
      <c r="K283" s="12"/>
      <c r="L283" s="12"/>
      <c r="M283" s="12"/>
      <c r="N283" s="12"/>
      <c r="O283" s="12"/>
      <c r="P283" s="12"/>
      <c r="Q283" s="12"/>
      <c r="R283" s="12"/>
      <c r="S283" s="12"/>
      <c r="T283" s="12"/>
      <c r="U283" s="12"/>
      <c r="V283" s="12"/>
      <c r="W283" s="12"/>
      <c r="X283" s="12"/>
      <c r="Y283" s="12"/>
      <c r="Z283" s="12"/>
      <c r="AA283" s="12"/>
      <c r="AB283" s="12"/>
      <c r="AC283" s="12"/>
      <c r="AD283" s="12"/>
    </row>
    <row r="284" spans="1:30" ht="26.25" customHeight="1">
      <c r="A284" s="73"/>
      <c r="B284" s="73" t="s">
        <v>386</v>
      </c>
      <c r="C284" s="73"/>
      <c r="D284" s="73" t="str">
        <f ca="1">IFERROR(__xludf.DUMMYFUNCTION("GOOGLETRANSLATE($B284,(""auto""),(""es""))"),"B37 - Bloqueo del vehículo")</f>
        <v>B37 - Bloqueo del vehículo</v>
      </c>
      <c r="E284" s="73" t="str">
        <f ca="1">IFERROR(__xludf.DUMMYFUNCTION("GOOGLETRANSLATE($B284,(""auto""),(""FR""))"),"B37 - Sense de verrouillage du véhicule")</f>
        <v>B37 - Sense de verrouillage du véhicule</v>
      </c>
      <c r="F284" s="73" t="str">
        <f ca="1">IFERROR(__xludf.DUMMYFUNCTION("GOOGLETRANSLATE($B284,(""auto""),(""IT""))"),"B37 - Lockset del veicolo")</f>
        <v>B37 - Lockset del veicolo</v>
      </c>
      <c r="G284" s="9"/>
      <c r="H284" s="9"/>
      <c r="I284" s="9"/>
      <c r="J284" s="9"/>
      <c r="K284" s="9"/>
      <c r="L284" s="9"/>
      <c r="M284" s="9"/>
      <c r="N284" s="9"/>
      <c r="O284" s="9"/>
      <c r="P284" s="9"/>
      <c r="Q284" s="9"/>
      <c r="R284" s="9"/>
      <c r="S284" s="9"/>
      <c r="T284" s="9"/>
      <c r="U284" s="9"/>
      <c r="V284" s="9"/>
      <c r="W284" s="9"/>
      <c r="X284" s="9"/>
      <c r="Y284" s="9"/>
      <c r="Z284" s="9"/>
      <c r="AA284" s="9"/>
      <c r="AB284" s="9"/>
      <c r="AC284" s="9"/>
      <c r="AD284" s="9"/>
    </row>
    <row r="285" spans="1:30">
      <c r="A285" s="69" t="s">
        <v>145</v>
      </c>
      <c r="B285" s="70" t="s">
        <v>146</v>
      </c>
      <c r="C285" s="70" t="s">
        <v>147</v>
      </c>
      <c r="D285" s="70" t="str">
        <f ca="1">IFERROR(__xludf.DUMMYFUNCTION("GOOGLETRANSLATE(B285,(""auto""),(""es""))"),"Preparación:")</f>
        <v>Preparación:</v>
      </c>
      <c r="E285" s="70" t="str">
        <f ca="1">IFERROR(__xludf.DUMMYFUNCTION("GOOGLETRANSLATE(B285,(""auto""),(""fr""))"),"Préparation:")</f>
        <v>Préparation:</v>
      </c>
      <c r="F285" s="70" t="str">
        <f ca="1">IFERROR(__xludf.DUMMYFUNCTION("GOOGLETRANSLATE(D285,(""auto""),(""IT""))"),"Preparazione:")</f>
        <v>Preparazione:</v>
      </c>
    </row>
    <row r="286" spans="1:30">
      <c r="A286" s="10">
        <v>1</v>
      </c>
      <c r="B286" s="11" t="s">
        <v>156</v>
      </c>
      <c r="C286" s="6"/>
      <c r="D286" s="11" t="str">
        <f ca="1">IFERROR(__xludf.DUMMYFUNCTION("GOOGLETRANSLATE($B286,(""auto""),(""es""))"),"Retire la canasta delantera - B0")</f>
        <v>Retire la canasta delantera - B0</v>
      </c>
      <c r="E286" s="11" t="str">
        <f ca="1">IFERROR(__xludf.DUMMYFUNCTION("GOOGLETRANSLATE($B286,(""auto""),(""FR""))"),"Retirez le panier avant - B0")</f>
        <v>Retirez le panier avant - B0</v>
      </c>
      <c r="F286" s="11" t="str">
        <f ca="1">IFERROR(__xludf.DUMMYFUNCTION("GOOGLETRANSLATE($B286,(""auto""),(""IT""))"),"Rimuovere il cestino anteriore - B0")</f>
        <v>Rimuovere il cestino anteriore - B0</v>
      </c>
      <c r="G286" s="12"/>
      <c r="H286" s="12"/>
      <c r="I286" s="12"/>
      <c r="J286" s="12"/>
      <c r="K286" s="12"/>
      <c r="L286" s="12"/>
      <c r="M286" s="12"/>
      <c r="N286" s="12"/>
      <c r="O286" s="12"/>
      <c r="P286" s="12"/>
      <c r="Q286" s="12"/>
      <c r="R286" s="12"/>
      <c r="S286" s="12"/>
      <c r="T286" s="12"/>
      <c r="U286" s="12"/>
      <c r="V286" s="12"/>
      <c r="W286" s="12"/>
      <c r="X286" s="12"/>
      <c r="Y286" s="12"/>
      <c r="Z286" s="12"/>
      <c r="AA286" s="12"/>
      <c r="AB286" s="12"/>
      <c r="AC286" s="12"/>
      <c r="AD286" s="12"/>
    </row>
    <row r="287" spans="1:30">
      <c r="A287" s="10">
        <v>2</v>
      </c>
      <c r="B287" s="11" t="s">
        <v>149</v>
      </c>
      <c r="C287" s="6"/>
      <c r="D287" s="11" t="str">
        <f ca="1">IFERROR(__xludf.DUMMYFUNCTION("GOOGLETRANSLATE($B287,(""auto""),(""es""))"),"Retire la cubierta frontal - B1")</f>
        <v>Retire la cubierta frontal - B1</v>
      </c>
      <c r="E287" s="11" t="str">
        <f ca="1">IFERROR(__xludf.DUMMYFUNCTION("GOOGLETRANSLATE($B287,(""auto""),(""FR""))"),"Retirez le couvercle avant - B1")</f>
        <v>Retirez le couvercle avant - B1</v>
      </c>
      <c r="F287" s="11" t="str">
        <f ca="1">IFERROR(__xludf.DUMMYFUNCTION("GOOGLETRANSLATE($B287,(""auto""),(""IT""))"),"Rimuovere il coperchio anteriore - B1")</f>
        <v>Rimuovere il coperchio anteriore - B1</v>
      </c>
      <c r="G287" s="12"/>
      <c r="H287" s="12"/>
      <c r="I287" s="12"/>
      <c r="J287" s="12"/>
      <c r="K287" s="12"/>
      <c r="L287" s="12"/>
      <c r="M287" s="12"/>
      <c r="N287" s="12"/>
      <c r="O287" s="12"/>
      <c r="P287" s="12"/>
      <c r="Q287" s="12"/>
      <c r="R287" s="12"/>
      <c r="S287" s="12"/>
      <c r="T287" s="12"/>
      <c r="U287" s="12"/>
      <c r="V287" s="12"/>
      <c r="W287" s="12"/>
      <c r="X287" s="12"/>
      <c r="Y287" s="12"/>
      <c r="Z287" s="12"/>
      <c r="AA287" s="12"/>
      <c r="AB287" s="12"/>
      <c r="AC287" s="12"/>
      <c r="AD287" s="12"/>
    </row>
    <row r="288" spans="1:30">
      <c r="A288" s="10">
        <v>3</v>
      </c>
      <c r="B288" s="11" t="s">
        <v>228</v>
      </c>
      <c r="C288" s="6"/>
      <c r="D288" s="11" t="str">
        <f ca="1">IFERROR(__xludf.DUMMYFUNCTION("GOOGLETRANSLATE($B288,(""auto""),(""es""))"),"Retire los escudos delanteros izquierdo y derecho - B5")</f>
        <v>Retire los escudos delanteros izquierdo y derecho - B5</v>
      </c>
      <c r="E288" s="11" t="str">
        <f ca="1">IFERROR(__xludf.DUMMYFUNCTION("GOOGLETRANSLATE($B288,(""auto""),(""FR""))"),"Retirez les boucliers avant gauche et droit - B5")</f>
        <v>Retirez les boucliers avant gauche et droit - B5</v>
      </c>
      <c r="F288" s="11" t="str">
        <f ca="1">IFERROR(__xludf.DUMMYFUNCTION("GOOGLETRANSLATE($B288,(""auto""),(""IT""))"),"Rimuovere gli scudi anteriori sinistro e destro - B5")</f>
        <v>Rimuovere gli scudi anteriori sinistro e destro - B5</v>
      </c>
      <c r="G288" s="12"/>
      <c r="H288" s="12"/>
      <c r="I288" s="12"/>
      <c r="J288" s="12"/>
      <c r="K288" s="12"/>
      <c r="L288" s="12"/>
      <c r="M288" s="12"/>
      <c r="N288" s="12"/>
      <c r="O288" s="12"/>
      <c r="P288" s="12"/>
      <c r="Q288" s="12"/>
      <c r="R288" s="12"/>
      <c r="S288" s="12"/>
      <c r="T288" s="12"/>
      <c r="U288" s="12"/>
      <c r="V288" s="12"/>
      <c r="W288" s="12"/>
      <c r="X288" s="12"/>
      <c r="Y288" s="12"/>
      <c r="Z288" s="12"/>
      <c r="AA288" s="12"/>
      <c r="AB288" s="12"/>
      <c r="AC288" s="12"/>
      <c r="AD288" s="12"/>
    </row>
    <row r="289" spans="1:30" ht="26.25" customHeight="1">
      <c r="A289" s="10">
        <v>4</v>
      </c>
      <c r="B289" s="11" t="s">
        <v>229</v>
      </c>
      <c r="C289" s="6"/>
      <c r="D289" s="11" t="str">
        <f ca="1">IFERROR(__xludf.DUMMYFUNCTION("GOOGLETRANSLATE($B289,(""auto""),(""es""))"),"Quítate el pedal - B7")</f>
        <v>Quítate el pedal - B7</v>
      </c>
      <c r="E289" s="11" t="str">
        <f ca="1">IFERROR(__xludf.DUMMYFUNCTION("GOOGLETRANSLATE($B289,(""auto""),(""FR""))"),"Enlever la pédale - B7")</f>
        <v>Enlever la pédale - B7</v>
      </c>
      <c r="F289" s="11" t="str">
        <f ca="1">IFERROR(__xludf.DUMMYFUNCTION("GOOGLETRANSLATE($B289,(""auto""),(""IT""))"),"Togli il pedale - B7")</f>
        <v>Togli il pedale - B7</v>
      </c>
      <c r="G289" s="12"/>
      <c r="H289" s="12"/>
      <c r="I289" s="12"/>
      <c r="J289" s="12"/>
      <c r="K289" s="12"/>
      <c r="L289" s="12"/>
      <c r="M289" s="12"/>
      <c r="N289" s="12"/>
      <c r="O289" s="12"/>
      <c r="P289" s="12"/>
      <c r="Q289" s="12"/>
      <c r="R289" s="12"/>
      <c r="S289" s="12"/>
      <c r="T289" s="12"/>
      <c r="U289" s="12"/>
      <c r="V289" s="12"/>
      <c r="W289" s="12"/>
      <c r="X289" s="12"/>
      <c r="Y289" s="12"/>
      <c r="Z289" s="12"/>
      <c r="AA289" s="12"/>
      <c r="AB289" s="12"/>
      <c r="AC289" s="12"/>
      <c r="AD289" s="12"/>
    </row>
    <row r="290" spans="1:30">
      <c r="A290" s="10">
        <v>5</v>
      </c>
      <c r="B290" s="11" t="s">
        <v>271</v>
      </c>
      <c r="C290" s="6"/>
      <c r="D290" s="11" t="str">
        <f ca="1">IFERROR(__xludf.DUMMYFUNCTION("GOOGLETRANSLATE($B290,(""auto""),(""es""))"),"Retire la tira de cubierta (izquierda/derecha) - B8")</f>
        <v>Retire la tira de cubierta (izquierda/derecha) - B8</v>
      </c>
      <c r="E290" s="11" t="str">
        <f ca="1">IFERROR(__xludf.DUMMYFUNCTION("GOOGLETRANSLATE($B290,(""auto""),(""FR""))"),"Retirez la bande de couverture (gauche / droite) - B8")</f>
        <v>Retirez la bande de couverture (gauche / droite) - B8</v>
      </c>
      <c r="F290" s="11" t="str">
        <f ca="1">IFERROR(__xludf.DUMMYFUNCTION("GOOGLETRANSLATE($B290,(""auto""),(""IT""))"),"Rimuovere la striscia di copertura (sinistra/destra) - B8")</f>
        <v>Rimuovere la striscia di copertura (sinistra/destra) - B8</v>
      </c>
      <c r="G290" s="12"/>
      <c r="H290" s="12"/>
      <c r="I290" s="12"/>
      <c r="J290" s="12"/>
      <c r="K290" s="12"/>
      <c r="L290" s="12"/>
      <c r="M290" s="12"/>
      <c r="N290" s="12"/>
      <c r="O290" s="12"/>
      <c r="P290" s="12"/>
      <c r="Q290" s="12"/>
      <c r="R290" s="12"/>
      <c r="S290" s="12"/>
      <c r="T290" s="12"/>
      <c r="U290" s="12"/>
      <c r="V290" s="12"/>
      <c r="W290" s="12"/>
      <c r="X290" s="12"/>
      <c r="Y290" s="12"/>
      <c r="Z290" s="12"/>
      <c r="AA290" s="12"/>
      <c r="AB290" s="12"/>
      <c r="AC290" s="12"/>
      <c r="AD290" s="12"/>
    </row>
    <row r="291" spans="1:30">
      <c r="A291" s="10">
        <v>6</v>
      </c>
      <c r="B291" s="11" t="s">
        <v>272</v>
      </c>
      <c r="C291" s="6"/>
      <c r="D291" s="11" t="str">
        <f ca="1">IFERROR(__xludf.DUMMYFUNCTION("GOOGLETRANSLATE($B291,(""auto""),(""es""))"),"Retire el gancho - B9")</f>
        <v>Retire el gancho - B9</v>
      </c>
      <c r="E291" s="11" t="str">
        <f ca="1">IFERROR(__xludf.DUMMYFUNCTION("GOOGLETRANSLATE($B291,(""auto""),(""FR""))"),"Retirez le crochet - B9")</f>
        <v>Retirez le crochet - B9</v>
      </c>
      <c r="F291" s="11" t="str">
        <f ca="1">IFERROR(__xludf.DUMMYFUNCTION("GOOGLETRANSLATE($B291,(""auto""),(""IT""))"),"Rimuovi il gancio - B9")</f>
        <v>Rimuovi il gancio - B9</v>
      </c>
      <c r="G291" s="12"/>
      <c r="H291" s="12"/>
      <c r="I291" s="12"/>
      <c r="J291" s="12"/>
      <c r="K291" s="12"/>
      <c r="L291" s="12"/>
      <c r="M291" s="12"/>
      <c r="N291" s="12"/>
      <c r="O291" s="12"/>
      <c r="P291" s="12"/>
      <c r="Q291" s="12"/>
      <c r="R291" s="12"/>
      <c r="S291" s="12"/>
      <c r="T291" s="12"/>
      <c r="U291" s="12"/>
      <c r="V291" s="12"/>
      <c r="W291" s="12"/>
      <c r="X291" s="12"/>
      <c r="Y291" s="12"/>
      <c r="Z291" s="12"/>
      <c r="AA291" s="12"/>
      <c r="AB291" s="12"/>
      <c r="AC291" s="12"/>
      <c r="AD291" s="12"/>
    </row>
    <row r="292" spans="1:30">
      <c r="A292" s="10">
        <v>7</v>
      </c>
      <c r="B292" s="11" t="s">
        <v>273</v>
      </c>
      <c r="C292" s="6"/>
      <c r="D292" s="11" t="str">
        <f ca="1">IFERROR(__xludf.DUMMYFUNCTION("GOOGLETRANSLATE($B292,(""auto""),(""es""))"),"Retire la cubierta de bloqueo de energía - B10")</f>
        <v>Retire la cubierta de bloqueo de energía - B10</v>
      </c>
      <c r="E292" s="11" t="str">
        <f ca="1">IFERROR(__xludf.DUMMYFUNCTION("GOOGLETRANSLATE($B292,(""auto""),(""FR""))"),"Retirez le couvercle de verrouillage d'alimentation - B10")</f>
        <v>Retirez le couvercle de verrouillage d'alimentation - B10</v>
      </c>
      <c r="F292" s="11" t="str">
        <f ca="1">IFERROR(__xludf.DUMMYFUNCTION("GOOGLETRANSLATE($B292,(""auto""),(""IT""))"),"Rimuovere il coperchio del blocco di alimentazione - B10")</f>
        <v>Rimuovere il coperchio del blocco di alimentazione - B10</v>
      </c>
      <c r="G292" s="12"/>
      <c r="H292" s="12"/>
      <c r="I292" s="12"/>
      <c r="J292" s="12"/>
      <c r="K292" s="12"/>
      <c r="L292" s="12"/>
      <c r="M292" s="12"/>
      <c r="N292" s="12"/>
      <c r="O292" s="12"/>
      <c r="P292" s="12"/>
      <c r="Q292" s="12"/>
      <c r="R292" s="12"/>
      <c r="S292" s="12"/>
      <c r="T292" s="12"/>
      <c r="U292" s="12"/>
      <c r="V292" s="12"/>
      <c r="W292" s="12"/>
      <c r="X292" s="12"/>
      <c r="Y292" s="12"/>
      <c r="Z292" s="12"/>
      <c r="AA292" s="12"/>
      <c r="AB292" s="12"/>
      <c r="AC292" s="12"/>
      <c r="AD292" s="12"/>
    </row>
    <row r="293" spans="1:30" ht="26.25" customHeight="1">
      <c r="A293" s="10">
        <v>8</v>
      </c>
      <c r="B293" s="11" t="s">
        <v>277</v>
      </c>
      <c r="C293" s="6"/>
      <c r="D293" s="11" t="str">
        <f ca="1">IFERROR(__xludf.DUMMYFUNCTION("GOOGLETRANSLATE($B293,(""auto""),(""es""))"),"Retire la cubierta de la viga principal - B11")</f>
        <v>Retire la cubierta de la viga principal - B11</v>
      </c>
      <c r="E293" s="11" t="str">
        <f ca="1">IFERROR(__xludf.DUMMYFUNCTION("GOOGLETRANSLATE($B293,(""auto""),(""FR""))"),"Retirez le couvercle de la poutre principale - B11")</f>
        <v>Retirez le couvercle de la poutre principale - B11</v>
      </c>
      <c r="F293" s="11" t="str">
        <f ca="1">IFERROR(__xludf.DUMMYFUNCTION("GOOGLETRANSLATE($B293,(""auto""),(""IT""))"),"Rimuovere il coperchio della trave principale - B11")</f>
        <v>Rimuovere il coperchio della trave principale - B11</v>
      </c>
      <c r="G293" s="12"/>
      <c r="H293" s="12"/>
      <c r="I293" s="12"/>
      <c r="J293" s="12"/>
      <c r="K293" s="12"/>
      <c r="L293" s="12"/>
      <c r="M293" s="12"/>
      <c r="N293" s="12"/>
      <c r="O293" s="12"/>
      <c r="P293" s="12"/>
      <c r="Q293" s="12"/>
      <c r="R293" s="12"/>
      <c r="S293" s="12"/>
      <c r="T293" s="12"/>
      <c r="U293" s="12"/>
      <c r="V293" s="12"/>
      <c r="W293" s="12"/>
      <c r="X293" s="12"/>
      <c r="Y293" s="12"/>
      <c r="Z293" s="12"/>
      <c r="AA293" s="12"/>
      <c r="AB293" s="12"/>
      <c r="AC293" s="12"/>
      <c r="AD293" s="12"/>
    </row>
    <row r="294" spans="1:30">
      <c r="A294" s="10">
        <v>9</v>
      </c>
      <c r="B294" s="11" t="s">
        <v>377</v>
      </c>
      <c r="C294" s="6"/>
      <c r="D294" s="11" t="str">
        <f ca="1">IFERROR(__xludf.DUMMYFUNCTION("GOOGLETRANSLATE($B294,(""auto""),(""es""))"),"Retire el conjunto del interruptor izquierdo y derecho - A3, A4")</f>
        <v>Retire el conjunto del interruptor izquierdo y derecho - A3, A4</v>
      </c>
      <c r="E294" s="11" t="str">
        <f ca="1">IFERROR(__xludf.DUMMYFUNCTION("GOOGLETRANSLATE($B294,(""auto""),(""FR""))"),"Retirez l'ensemble de l'interrupteur gauche et droit - A3, A4")</f>
        <v>Retirez l'ensemble de l'interrupteur gauche et droit - A3, A4</v>
      </c>
      <c r="F294" s="11" t="str">
        <f ca="1">IFERROR(__xludf.DUMMYFUNCTION("GOOGLETRANSLATE($B294,(""auto""),(""IT""))"),"Rimuovere il gruppo interruttore sinistro e destro - A3, A4")</f>
        <v>Rimuovere il gruppo interruttore sinistro e destro - A3, A4</v>
      </c>
      <c r="G294" s="12"/>
      <c r="H294" s="12"/>
      <c r="I294" s="12"/>
      <c r="J294" s="12"/>
      <c r="K294" s="12"/>
      <c r="L294" s="12"/>
      <c r="M294" s="12"/>
      <c r="N294" s="12"/>
      <c r="O294" s="12"/>
      <c r="P294" s="12"/>
      <c r="Q294" s="12"/>
      <c r="R294" s="12"/>
      <c r="S294" s="12"/>
      <c r="T294" s="12"/>
      <c r="U294" s="12"/>
      <c r="V294" s="12"/>
      <c r="W294" s="12"/>
      <c r="X294" s="12"/>
      <c r="Y294" s="12"/>
      <c r="Z294" s="12"/>
      <c r="AA294" s="12"/>
      <c r="AB294" s="12"/>
      <c r="AC294" s="12"/>
      <c r="AD294" s="12"/>
    </row>
    <row r="295" spans="1:30">
      <c r="A295" s="10">
        <v>10</v>
      </c>
      <c r="B295" s="11" t="s">
        <v>378</v>
      </c>
      <c r="C295" s="6"/>
      <c r="D295" s="11" t="str">
        <f ca="1">IFERROR(__xludf.DUMMYFUNCTION("GOOGLETRANSLATE($B295,(""auto""),(""es""))"),"Quite el manillar - B33")</f>
        <v>Quite el manillar - B33</v>
      </c>
      <c r="E295" s="11" t="str">
        <f ca="1">IFERROR(__xludf.DUMMYFUNCTION("GOOGLETRANSLATE($B295,(""auto""),(""FR""))"),"Enlever le guidon - B33")</f>
        <v>Enlever le guidon - B33</v>
      </c>
      <c r="F295" s="11" t="str">
        <f ca="1">IFERROR(__xludf.DUMMYFUNCTION("GOOGLETRANSLATE($B295,(""auto""),(""IT""))"),"Togliti il ​​manubrio - B33")</f>
        <v>Togliti il ​​manubrio - B33</v>
      </c>
      <c r="G295" s="12"/>
      <c r="H295" s="12"/>
      <c r="I295" s="12"/>
      <c r="J295" s="12"/>
      <c r="K295" s="12"/>
      <c r="L295" s="12"/>
      <c r="M295" s="12"/>
      <c r="N295" s="12"/>
      <c r="O295" s="12"/>
      <c r="P295" s="12"/>
      <c r="Q295" s="12"/>
      <c r="R295" s="12"/>
      <c r="S295" s="12"/>
      <c r="T295" s="12"/>
      <c r="U295" s="12"/>
      <c r="V295" s="12"/>
      <c r="W295" s="12"/>
      <c r="X295" s="12"/>
      <c r="Y295" s="12"/>
      <c r="Z295" s="12"/>
      <c r="AA295" s="12"/>
      <c r="AB295" s="12"/>
      <c r="AC295" s="12"/>
      <c r="AD295" s="12"/>
    </row>
    <row r="296" spans="1:30">
      <c r="A296" s="10">
        <v>11</v>
      </c>
      <c r="B296" s="11" t="s">
        <v>387</v>
      </c>
      <c r="C296" s="6"/>
      <c r="D296" s="11" t="str">
        <f ca="1">IFERROR(__xludf.DUMMYFUNCTION("GOOGLETRANSLATE($B296,(""auto""),(""es""))"),"Retire el mango post comp - b35")</f>
        <v>Retire el mango post comp - b35</v>
      </c>
      <c r="E296" s="11" t="str">
        <f ca="1">IFERROR(__xludf.DUMMYFUNCTION("GOOGLETRANSLATE($B296,(""auto""),(""FR""))"),"Retirez le Handle Post Comp - B35")</f>
        <v>Retirez le Handle Post Comp - B35</v>
      </c>
      <c r="F296" s="11" t="str">
        <f ca="1">IFERROR(__xludf.DUMMYFUNCTION("GOOGLETRANSLATE($B296,(""auto""),(""IT""))"),"Rimuovi il post -maniglia post comp - b35")</f>
        <v>Rimuovi il post -maniglia post comp - b35</v>
      </c>
      <c r="G296" s="12"/>
      <c r="H296" s="12"/>
      <c r="I296" s="12"/>
      <c r="J296" s="12"/>
      <c r="K296" s="12"/>
      <c r="L296" s="12"/>
      <c r="M296" s="12"/>
      <c r="N296" s="12"/>
      <c r="O296" s="12"/>
      <c r="P296" s="12"/>
      <c r="Q296" s="12"/>
      <c r="R296" s="12"/>
      <c r="S296" s="12"/>
      <c r="T296" s="12"/>
      <c r="U296" s="12"/>
      <c r="V296" s="12"/>
      <c r="W296" s="12"/>
      <c r="X296" s="12"/>
      <c r="Y296" s="12"/>
      <c r="Z296" s="12"/>
      <c r="AA296" s="12"/>
      <c r="AB296" s="12"/>
      <c r="AC296" s="12"/>
      <c r="AD296" s="12"/>
    </row>
    <row r="297" spans="1:30">
      <c r="A297" s="10">
        <v>12</v>
      </c>
      <c r="B297" s="11" t="s">
        <v>388</v>
      </c>
      <c r="C297" s="6"/>
      <c r="D297" s="11" t="str">
        <f ca="1">IFERROR(__xludf.DUMMYFUNCTION("GOOGLETRANSLATE($B297,(""auto""),(""es""))"),"Retire el vástago de dirección - B36")</f>
        <v>Retire el vástago de dirección - B36</v>
      </c>
      <c r="E297" s="11" t="str">
        <f ca="1">IFERROR(__xludf.DUMMYFUNCTION("GOOGLETRANSLATE($B297,(""auto""),(""FR""))"),"Retirez la tige de direction - B36")</f>
        <v>Retirez la tige de direction - B36</v>
      </c>
      <c r="F297" s="11" t="str">
        <f ca="1">IFERROR(__xludf.DUMMYFUNCTION("GOOGLETRANSLATE($B297,(""auto""),(""IT""))"),"Rimuovere lo stelo dello sterzo - B36")</f>
        <v>Rimuovere lo stelo dello sterzo - B36</v>
      </c>
      <c r="G297" s="12"/>
      <c r="H297" s="12"/>
      <c r="I297" s="12"/>
      <c r="J297" s="12"/>
      <c r="K297" s="12"/>
      <c r="L297" s="12"/>
      <c r="M297" s="12"/>
      <c r="N297" s="12"/>
      <c r="O297" s="12"/>
      <c r="P297" s="12"/>
      <c r="Q297" s="12"/>
      <c r="R297" s="12"/>
      <c r="S297" s="12"/>
      <c r="T297" s="12"/>
      <c r="U297" s="12"/>
      <c r="V297" s="12"/>
      <c r="W297" s="12"/>
      <c r="X297" s="12"/>
      <c r="Y297" s="12"/>
      <c r="Z297" s="12"/>
      <c r="AA297" s="12"/>
      <c r="AB297" s="12"/>
      <c r="AC297" s="12"/>
      <c r="AD297" s="12"/>
    </row>
    <row r="298" spans="1:30">
      <c r="A298" s="69" t="s">
        <v>150</v>
      </c>
      <c r="B298" s="70" t="s">
        <v>151</v>
      </c>
      <c r="C298" s="70" t="s">
        <v>152</v>
      </c>
      <c r="D298" s="70" t="str">
        <f ca="1">IFERROR(__xludf.DUMMYFUNCTION("GOOGLETRANSLATE(B298,(""auto""),(""es""))"),"Descripción")</f>
        <v>Descripción</v>
      </c>
      <c r="E298" s="70" t="str">
        <f ca="1">IFERROR(__xludf.DUMMYFUNCTION("GOOGLETRANSLATE(B298,(""auto""),(""fr""))"),"Description")</f>
        <v>Description</v>
      </c>
      <c r="F298" s="70" t="str">
        <f ca="1">IFERROR(__xludf.DUMMYFUNCTION("GOOGLETRANSLATE(D298,(""auto""),(""IT""))"),"Descrizione")</f>
        <v>Descrizione</v>
      </c>
    </row>
    <row r="299" spans="1:30" ht="96" customHeight="1">
      <c r="A299" s="10">
        <v>1</v>
      </c>
      <c r="B299" s="11" t="s">
        <v>389</v>
      </c>
      <c r="C299" s="6"/>
      <c r="D299" s="11" t="str">
        <f ca="1">IFERROR(__xludf.DUMMYFUNCTION("GOOGLETRANSLATE($B299,(""auto""),(""es""))"),"
Desenchufe el conector de ensamblaje de bloqueo de alimentación y desenchufe el arnés")</f>
        <v xml:space="preserve">
Desenchufe el conector de ensamblaje de bloqueo de alimentación y desenchufe el arnés</v>
      </c>
      <c r="E299" s="11" t="str">
        <f ca="1">IFERROR(__xludf.DUMMYFUNCTION("GOOGLETRANSLATE($B299,(""auto""),(""FR""))"),"
Débranchez le connecteur d'assemblage de verrouillage de puissance et débranchez le harnais")</f>
        <v xml:space="preserve">
Débranchez le connecteur d'assemblage de verrouillage de puissance et débranchez le harnais</v>
      </c>
      <c r="F299" s="11" t="str">
        <f ca="1">IFERROR(__xludf.DUMMYFUNCTION("GOOGLETRANSLATE($B299,(""auto""),(""IT""))"),"
Scollegare il connettore del gruppo blocco di alimentazione e scollegare il cablaggio")</f>
        <v xml:space="preserve">
Scollegare il connettore del gruppo blocco di alimentazione e scollegare il cablaggio</v>
      </c>
      <c r="G299" s="12"/>
      <c r="H299" s="12"/>
      <c r="I299" s="12"/>
      <c r="J299" s="12"/>
      <c r="K299" s="12"/>
      <c r="L299" s="12"/>
      <c r="M299" s="12"/>
      <c r="N299" s="12"/>
      <c r="O299" s="12"/>
      <c r="P299" s="12"/>
      <c r="Q299" s="12"/>
      <c r="R299" s="12"/>
      <c r="S299" s="12"/>
      <c r="T299" s="12"/>
      <c r="U299" s="12"/>
      <c r="V299" s="12"/>
      <c r="W299" s="12"/>
      <c r="X299" s="12"/>
      <c r="Y299" s="12"/>
      <c r="Z299" s="12"/>
      <c r="AA299" s="12"/>
      <c r="AB299" s="12"/>
      <c r="AC299" s="12"/>
      <c r="AD299" s="12"/>
    </row>
    <row r="300" spans="1:30" ht="94.5" customHeight="1">
      <c r="A300" s="10">
        <v>2</v>
      </c>
      <c r="B300" s="11" t="s">
        <v>390</v>
      </c>
      <c r="C300" s="6"/>
      <c r="D300" s="11" t="str">
        <f ca="1">IFERROR(__xludf.DUMMYFUNCTION("GOOGLETRANSLATE($B300,(""auto""),(""es""))"),"
Retire los dos tornillos en el círculo rojo con un destornillador de Phillips y retire el conjunto de bloqueo de alimentación")</f>
        <v xml:space="preserve">
Retire los dos tornillos en el círculo rojo con un destornillador de Phillips y retire el conjunto de bloqueo de alimentación</v>
      </c>
      <c r="E300" s="11" t="str">
        <f ca="1">IFERROR(__xludf.DUMMYFUNCTION("GOOGLETRANSLATE($B300,(""auto""),(""FR""))"),"
Retirez les deux vis dans le cercle rouge avec un tournevis Phillips et retirez l'ensemble de verrouillage de puissance")</f>
        <v xml:space="preserve">
Retirez les deux vis dans le cercle rouge avec un tournevis Phillips et retirez l'ensemble de verrouillage de puissance</v>
      </c>
      <c r="F300" s="11" t="str">
        <f ca="1">IFERROR(__xludf.DUMMYFUNCTION("GOOGLETRANSLATE($B300,(""auto""),(""IT""))"),"
Rimuovere le due viti nel cerchio rosso con un cacciavite Phillips e rimuovere il gruppo blocco di alimentazione")</f>
        <v xml:space="preserve">
Rimuovere le due viti nel cerchio rosso con un cacciavite Phillips e rimuovere il gruppo blocco di alimentazione</v>
      </c>
      <c r="G300" s="12"/>
      <c r="H300" s="12"/>
      <c r="I300" s="12"/>
      <c r="J300" s="12"/>
      <c r="K300" s="12"/>
      <c r="L300" s="12"/>
      <c r="M300" s="12"/>
      <c r="N300" s="12"/>
      <c r="O300" s="12"/>
      <c r="P300" s="12"/>
      <c r="Q300" s="12"/>
      <c r="R300" s="12"/>
      <c r="S300" s="12"/>
      <c r="T300" s="12"/>
      <c r="U300" s="12"/>
      <c r="V300" s="12"/>
      <c r="W300" s="12"/>
      <c r="X300" s="12"/>
      <c r="Y300" s="12"/>
      <c r="Z300" s="12"/>
      <c r="AA300" s="12"/>
      <c r="AB300" s="12"/>
      <c r="AC300" s="12"/>
      <c r="AD300" s="12"/>
    </row>
    <row r="301" spans="1:30" ht="26.25" customHeight="1">
      <c r="A301" s="73"/>
      <c r="B301" s="73" t="s">
        <v>391</v>
      </c>
      <c r="C301" s="73"/>
      <c r="D301" s="73" t="str">
        <f ca="1">IFERROR(__xludf.DUMMYFUNCTION("GOOGLETRANSLATE($B301,(""auto""),(""es""))"),"B38 - Amorto delantero")</f>
        <v>B38 - Amorto delantero</v>
      </c>
      <c r="E301" s="73" t="str">
        <f ca="1">IFERROR(__xludf.DUMMYFUNCTION("GOOGLETRANSLATE($B301,(""auto""),(""FR""))"),"B38 - Amortisseur avant avant")</f>
        <v>B38 - Amortisseur avant avant</v>
      </c>
      <c r="F301" s="73" t="str">
        <f ca="1">IFERROR(__xludf.DUMMYFUNCTION("GOOGLETRANSLATE($B301,(""auto""),(""IT""))"),"B38 - Shock ammortizzatore anteriore")</f>
        <v>B38 - Shock ammortizzatore anteriore</v>
      </c>
      <c r="G301" s="9"/>
      <c r="H301" s="9"/>
      <c r="I301" s="9"/>
      <c r="J301" s="9"/>
      <c r="K301" s="9"/>
      <c r="L301" s="9"/>
      <c r="M301" s="9"/>
      <c r="N301" s="9"/>
      <c r="O301" s="9"/>
      <c r="P301" s="9"/>
      <c r="Q301" s="9"/>
      <c r="R301" s="9"/>
      <c r="S301" s="9"/>
      <c r="T301" s="9"/>
      <c r="U301" s="9"/>
      <c r="V301" s="9"/>
      <c r="W301" s="9"/>
      <c r="X301" s="9"/>
      <c r="Y301" s="9"/>
      <c r="Z301" s="9"/>
      <c r="AA301" s="9"/>
      <c r="AB301" s="9"/>
      <c r="AC301" s="9"/>
      <c r="AD301" s="9"/>
    </row>
    <row r="302" spans="1:30">
      <c r="A302" s="69" t="s">
        <v>145</v>
      </c>
      <c r="B302" s="70" t="s">
        <v>146</v>
      </c>
      <c r="C302" s="70" t="s">
        <v>147</v>
      </c>
      <c r="D302" s="70" t="str">
        <f ca="1">IFERROR(__xludf.DUMMYFUNCTION("GOOGLETRANSLATE(B302,(""auto""),(""es""))"),"Preparación:")</f>
        <v>Preparación:</v>
      </c>
      <c r="E302" s="70" t="str">
        <f ca="1">IFERROR(__xludf.DUMMYFUNCTION("GOOGLETRANSLATE(B302,(""auto""),(""fr""))"),"Préparation:")</f>
        <v>Préparation:</v>
      </c>
      <c r="F302" s="70" t="str">
        <f ca="1">IFERROR(__xludf.DUMMYFUNCTION("GOOGLETRANSLATE(D302,(""auto""),(""IT""))"),"Preparazione:")</f>
        <v>Preparazione:</v>
      </c>
    </row>
    <row r="303" spans="1:30">
      <c r="A303" s="10">
        <v>1</v>
      </c>
      <c r="B303" s="11" t="s">
        <v>156</v>
      </c>
      <c r="C303" s="6"/>
      <c r="D303" s="11" t="str">
        <f ca="1">IFERROR(__xludf.DUMMYFUNCTION("GOOGLETRANSLATE($B303,(""auto""),(""es""))"),"Retire la canasta delantera - B0")</f>
        <v>Retire la canasta delantera - B0</v>
      </c>
      <c r="E303" s="11" t="str">
        <f ca="1">IFERROR(__xludf.DUMMYFUNCTION("GOOGLETRANSLATE($B303,(""auto""),(""FR""))"),"Retirez le panier avant - B0")</f>
        <v>Retirez le panier avant - B0</v>
      </c>
      <c r="F303" s="11" t="str">
        <f ca="1">IFERROR(__xludf.DUMMYFUNCTION("GOOGLETRANSLATE($B303,(""auto""),(""IT""))"),"Rimuovere il cestino anteriore - B0")</f>
        <v>Rimuovere il cestino anteriore - B0</v>
      </c>
      <c r="G303" s="12"/>
      <c r="H303" s="12"/>
      <c r="I303" s="12"/>
      <c r="J303" s="12"/>
      <c r="K303" s="12"/>
      <c r="L303" s="12"/>
      <c r="M303" s="12"/>
      <c r="N303" s="12"/>
      <c r="O303" s="12"/>
      <c r="P303" s="12"/>
      <c r="Q303" s="12"/>
      <c r="R303" s="12"/>
      <c r="S303" s="12"/>
      <c r="T303" s="12"/>
      <c r="U303" s="12"/>
      <c r="V303" s="12"/>
      <c r="W303" s="12"/>
      <c r="X303" s="12"/>
      <c r="Y303" s="12"/>
      <c r="Z303" s="12"/>
      <c r="AA303" s="12"/>
      <c r="AB303" s="12"/>
      <c r="AC303" s="12"/>
      <c r="AD303" s="12"/>
    </row>
    <row r="304" spans="1:30">
      <c r="A304" s="10">
        <v>2</v>
      </c>
      <c r="B304" s="11" t="s">
        <v>149</v>
      </c>
      <c r="C304" s="6"/>
      <c r="D304" s="11" t="str">
        <f ca="1">IFERROR(__xludf.DUMMYFUNCTION("GOOGLETRANSLATE($B304,(""auto""),(""es""))"),"Retire la cubierta frontal - B1")</f>
        <v>Retire la cubierta frontal - B1</v>
      </c>
      <c r="E304" s="11" t="str">
        <f ca="1">IFERROR(__xludf.DUMMYFUNCTION("GOOGLETRANSLATE($B304,(""auto""),(""FR""))"),"Retirez le couvercle avant - B1")</f>
        <v>Retirez le couvercle avant - B1</v>
      </c>
      <c r="F304" s="11" t="str">
        <f ca="1">IFERROR(__xludf.DUMMYFUNCTION("GOOGLETRANSLATE($B304,(""auto""),(""IT""))"),"Rimuovere il coperchio anteriore - B1")</f>
        <v>Rimuovere il coperchio anteriore - B1</v>
      </c>
      <c r="G304" s="12"/>
      <c r="H304" s="12"/>
      <c r="I304" s="12"/>
      <c r="J304" s="12"/>
      <c r="K304" s="12"/>
      <c r="L304" s="12"/>
      <c r="M304" s="12"/>
      <c r="N304" s="12"/>
      <c r="O304" s="12"/>
      <c r="P304" s="12"/>
      <c r="Q304" s="12"/>
      <c r="R304" s="12"/>
      <c r="S304" s="12"/>
      <c r="T304" s="12"/>
      <c r="U304" s="12"/>
      <c r="V304" s="12"/>
      <c r="W304" s="12"/>
      <c r="X304" s="12"/>
      <c r="Y304" s="12"/>
      <c r="Z304" s="12"/>
      <c r="AA304" s="12"/>
      <c r="AB304" s="12"/>
      <c r="AC304" s="12"/>
      <c r="AD304" s="12"/>
    </row>
    <row r="305" spans="1:30">
      <c r="A305" s="10">
        <v>3</v>
      </c>
      <c r="B305" s="11" t="s">
        <v>228</v>
      </c>
      <c r="C305" s="6"/>
      <c r="D305" s="11" t="str">
        <f ca="1">IFERROR(__xludf.DUMMYFUNCTION("GOOGLETRANSLATE($B305,(""auto""),(""es""))"),"Retire los escudos delanteros izquierdo y derecho - B5")</f>
        <v>Retire los escudos delanteros izquierdo y derecho - B5</v>
      </c>
      <c r="E305" s="11" t="str">
        <f ca="1">IFERROR(__xludf.DUMMYFUNCTION("GOOGLETRANSLATE($B305,(""auto""),(""FR""))"),"Retirez les boucliers avant gauche et droit - B5")</f>
        <v>Retirez les boucliers avant gauche et droit - B5</v>
      </c>
      <c r="F305" s="11" t="str">
        <f ca="1">IFERROR(__xludf.DUMMYFUNCTION("GOOGLETRANSLATE($B305,(""auto""),(""IT""))"),"Rimuovere gli scudi anteriori sinistro e destro - B5")</f>
        <v>Rimuovere gli scudi anteriori sinistro e destro - B5</v>
      </c>
      <c r="G305" s="12"/>
      <c r="H305" s="12"/>
      <c r="I305" s="12"/>
      <c r="J305" s="12"/>
      <c r="K305" s="12"/>
      <c r="L305" s="12"/>
      <c r="M305" s="12"/>
      <c r="N305" s="12"/>
      <c r="O305" s="12"/>
      <c r="P305" s="12"/>
      <c r="Q305" s="12"/>
      <c r="R305" s="12"/>
      <c r="S305" s="12"/>
      <c r="T305" s="12"/>
      <c r="U305" s="12"/>
      <c r="V305" s="12"/>
      <c r="W305" s="12"/>
      <c r="X305" s="12"/>
      <c r="Y305" s="12"/>
      <c r="Z305" s="12"/>
      <c r="AA305" s="12"/>
      <c r="AB305" s="12"/>
      <c r="AC305" s="12"/>
      <c r="AD305" s="12"/>
    </row>
    <row r="306" spans="1:30">
      <c r="A306" s="10">
        <v>4</v>
      </c>
      <c r="B306" s="11" t="s">
        <v>229</v>
      </c>
      <c r="C306" s="6"/>
      <c r="D306" s="11" t="str">
        <f ca="1">IFERROR(__xludf.DUMMYFUNCTION("GOOGLETRANSLATE($B306,(""auto""),(""es""))"),"Quítate el pedal - B7")</f>
        <v>Quítate el pedal - B7</v>
      </c>
      <c r="E306" s="11" t="str">
        <f ca="1">IFERROR(__xludf.DUMMYFUNCTION("GOOGLETRANSLATE($B306,(""auto""),(""FR""))"),"Enlever la pédale - B7")</f>
        <v>Enlever la pédale - B7</v>
      </c>
      <c r="F306" s="11" t="str">
        <f ca="1">IFERROR(__xludf.DUMMYFUNCTION("GOOGLETRANSLATE($B306,(""auto""),(""IT""))"),"Togli il pedale - B7")</f>
        <v>Togli il pedale - B7</v>
      </c>
      <c r="G306" s="12"/>
      <c r="H306" s="12"/>
      <c r="I306" s="12"/>
      <c r="J306" s="12"/>
      <c r="K306" s="12"/>
      <c r="L306" s="12"/>
      <c r="M306" s="12"/>
      <c r="N306" s="12"/>
      <c r="O306" s="12"/>
      <c r="P306" s="12"/>
      <c r="Q306" s="12"/>
      <c r="R306" s="12"/>
      <c r="S306" s="12"/>
      <c r="T306" s="12"/>
      <c r="U306" s="12"/>
      <c r="V306" s="12"/>
      <c r="W306" s="12"/>
      <c r="X306" s="12"/>
      <c r="Y306" s="12"/>
      <c r="Z306" s="12"/>
      <c r="AA306" s="12"/>
      <c r="AB306" s="12"/>
      <c r="AC306" s="12"/>
      <c r="AD306" s="12"/>
    </row>
    <row r="307" spans="1:30">
      <c r="A307" s="10">
        <v>5</v>
      </c>
      <c r="B307" s="11" t="s">
        <v>271</v>
      </c>
      <c r="C307" s="6"/>
      <c r="D307" s="11" t="str">
        <f ca="1">IFERROR(__xludf.DUMMYFUNCTION("GOOGLETRANSLATE($B307,(""auto""),(""es""))"),"Retire la tira de cubierta (izquierda/derecha) - B8")</f>
        <v>Retire la tira de cubierta (izquierda/derecha) - B8</v>
      </c>
      <c r="E307" s="11" t="str">
        <f ca="1">IFERROR(__xludf.DUMMYFUNCTION("GOOGLETRANSLATE($B307,(""auto""),(""FR""))"),"Retirez la bande de couverture (gauche / droite) - B8")</f>
        <v>Retirez la bande de couverture (gauche / droite) - B8</v>
      </c>
      <c r="F307" s="11" t="str">
        <f ca="1">IFERROR(__xludf.DUMMYFUNCTION("GOOGLETRANSLATE($B307,(""auto""),(""IT""))"),"Rimuovere la striscia di copertura (sinistra/destra) - B8")</f>
        <v>Rimuovere la striscia di copertura (sinistra/destra) - B8</v>
      </c>
      <c r="G307" s="12"/>
      <c r="H307" s="12"/>
      <c r="I307" s="12"/>
      <c r="J307" s="12"/>
      <c r="K307" s="12"/>
      <c r="L307" s="12"/>
      <c r="M307" s="12"/>
      <c r="N307" s="12"/>
      <c r="O307" s="12"/>
      <c r="P307" s="12"/>
      <c r="Q307" s="12"/>
      <c r="R307" s="12"/>
      <c r="S307" s="12"/>
      <c r="T307" s="12"/>
      <c r="U307" s="12"/>
      <c r="V307" s="12"/>
      <c r="W307" s="12"/>
      <c r="X307" s="12"/>
      <c r="Y307" s="12"/>
      <c r="Z307" s="12"/>
      <c r="AA307" s="12"/>
      <c r="AB307" s="12"/>
      <c r="AC307" s="12"/>
      <c r="AD307" s="12"/>
    </row>
    <row r="308" spans="1:30">
      <c r="A308" s="10">
        <v>6</v>
      </c>
      <c r="B308" s="11" t="s">
        <v>272</v>
      </c>
      <c r="C308" s="6"/>
      <c r="D308" s="11" t="str">
        <f ca="1">IFERROR(__xludf.DUMMYFUNCTION("GOOGLETRANSLATE($B308,(""auto""),(""es""))"),"Retire el gancho - B9")</f>
        <v>Retire el gancho - B9</v>
      </c>
      <c r="E308" s="11" t="str">
        <f ca="1">IFERROR(__xludf.DUMMYFUNCTION("GOOGLETRANSLATE($B308,(""auto""),(""FR""))"),"Retirez le crochet - B9")</f>
        <v>Retirez le crochet - B9</v>
      </c>
      <c r="F308" s="11" t="str">
        <f ca="1">IFERROR(__xludf.DUMMYFUNCTION("GOOGLETRANSLATE($B308,(""auto""),(""IT""))"),"Rimuovi il gancio - B9")</f>
        <v>Rimuovi il gancio - B9</v>
      </c>
      <c r="G308" s="12"/>
      <c r="H308" s="12"/>
      <c r="I308" s="12"/>
      <c r="J308" s="12"/>
      <c r="K308" s="12"/>
      <c r="L308" s="12"/>
      <c r="M308" s="12"/>
      <c r="N308" s="12"/>
      <c r="O308" s="12"/>
      <c r="P308" s="12"/>
      <c r="Q308" s="12"/>
      <c r="R308" s="12"/>
      <c r="S308" s="12"/>
      <c r="T308" s="12"/>
      <c r="U308" s="12"/>
      <c r="V308" s="12"/>
      <c r="W308" s="12"/>
      <c r="X308" s="12"/>
      <c r="Y308" s="12"/>
      <c r="Z308" s="12"/>
      <c r="AA308" s="12"/>
      <c r="AB308" s="12"/>
      <c r="AC308" s="12"/>
      <c r="AD308" s="12"/>
    </row>
    <row r="309" spans="1:30">
      <c r="A309" s="10">
        <v>7</v>
      </c>
      <c r="B309" s="11" t="s">
        <v>273</v>
      </c>
      <c r="C309" s="6"/>
      <c r="D309" s="11" t="str">
        <f ca="1">IFERROR(__xludf.DUMMYFUNCTION("GOOGLETRANSLATE($B309,(""auto""),(""es""))"),"Retire la cubierta de bloqueo de energía - B10")</f>
        <v>Retire la cubierta de bloqueo de energía - B10</v>
      </c>
      <c r="E309" s="11" t="str">
        <f ca="1">IFERROR(__xludf.DUMMYFUNCTION("GOOGLETRANSLATE($B309,(""auto""),(""FR""))"),"Retirez le couvercle de verrouillage d'alimentation - B10")</f>
        <v>Retirez le couvercle de verrouillage d'alimentation - B10</v>
      </c>
      <c r="F309" s="11" t="str">
        <f ca="1">IFERROR(__xludf.DUMMYFUNCTION("GOOGLETRANSLATE($B309,(""auto""),(""IT""))"),"Rimuovere il coperchio del blocco di alimentazione - B10")</f>
        <v>Rimuovere il coperchio del blocco di alimentazione - B10</v>
      </c>
      <c r="G309" s="12"/>
      <c r="H309" s="12"/>
      <c r="I309" s="12"/>
      <c r="J309" s="12"/>
      <c r="K309" s="12"/>
      <c r="L309" s="12"/>
      <c r="M309" s="12"/>
      <c r="N309" s="12"/>
      <c r="O309" s="12"/>
      <c r="P309" s="12"/>
      <c r="Q309" s="12"/>
      <c r="R309" s="12"/>
      <c r="S309" s="12"/>
      <c r="T309" s="12"/>
      <c r="U309" s="12"/>
      <c r="V309" s="12"/>
      <c r="W309" s="12"/>
      <c r="X309" s="12"/>
      <c r="Y309" s="12"/>
      <c r="Z309" s="12"/>
      <c r="AA309" s="12"/>
      <c r="AB309" s="12"/>
      <c r="AC309" s="12"/>
      <c r="AD309" s="12"/>
    </row>
    <row r="310" spans="1:30" ht="26.25" customHeight="1">
      <c r="A310" s="10">
        <v>8</v>
      </c>
      <c r="B310" s="11" t="s">
        <v>277</v>
      </c>
      <c r="C310" s="6"/>
      <c r="D310" s="11" t="str">
        <f ca="1">IFERROR(__xludf.DUMMYFUNCTION("GOOGLETRANSLATE($B310,(""auto""),(""es""))"),"Retire la cubierta de la viga principal - B11")</f>
        <v>Retire la cubierta de la viga principal - B11</v>
      </c>
      <c r="E310" s="11" t="str">
        <f ca="1">IFERROR(__xludf.DUMMYFUNCTION("GOOGLETRANSLATE($B310,(""auto""),(""FR""))"),"Retirez le couvercle de la poutre principale - B11")</f>
        <v>Retirez le couvercle de la poutre principale - B11</v>
      </c>
      <c r="F310" s="11" t="str">
        <f ca="1">IFERROR(__xludf.DUMMYFUNCTION("GOOGLETRANSLATE($B310,(""auto""),(""IT""))"),"Rimuovere il coperchio della trave principale - B11")</f>
        <v>Rimuovere il coperchio della trave principale - B11</v>
      </c>
      <c r="G310" s="12"/>
      <c r="H310" s="12"/>
      <c r="I310" s="12"/>
      <c r="J310" s="12"/>
      <c r="K310" s="12"/>
      <c r="L310" s="12"/>
      <c r="M310" s="12"/>
      <c r="N310" s="12"/>
      <c r="O310" s="12"/>
      <c r="P310" s="12"/>
      <c r="Q310" s="12"/>
      <c r="R310" s="12"/>
      <c r="S310" s="12"/>
      <c r="T310" s="12"/>
      <c r="U310" s="12"/>
      <c r="V310" s="12"/>
      <c r="W310" s="12"/>
      <c r="X310" s="12"/>
      <c r="Y310" s="12"/>
      <c r="Z310" s="12"/>
      <c r="AA310" s="12"/>
      <c r="AB310" s="12"/>
      <c r="AC310" s="12"/>
      <c r="AD310" s="12"/>
    </row>
    <row r="311" spans="1:30">
      <c r="A311" s="10">
        <v>9</v>
      </c>
      <c r="B311" s="11" t="s">
        <v>377</v>
      </c>
      <c r="C311" s="6"/>
      <c r="D311" s="11" t="str">
        <f ca="1">IFERROR(__xludf.DUMMYFUNCTION("GOOGLETRANSLATE($B311,(""auto""),(""es""))"),"Retire el conjunto del interruptor izquierdo y derecho - A3, A4")</f>
        <v>Retire el conjunto del interruptor izquierdo y derecho - A3, A4</v>
      </c>
      <c r="E311" s="11" t="str">
        <f ca="1">IFERROR(__xludf.DUMMYFUNCTION("GOOGLETRANSLATE($B311,(""auto""),(""FR""))"),"Retirez l'ensemble de l'interrupteur gauche et droit - A3, A4")</f>
        <v>Retirez l'ensemble de l'interrupteur gauche et droit - A3, A4</v>
      </c>
      <c r="F311" s="11" t="str">
        <f ca="1">IFERROR(__xludf.DUMMYFUNCTION("GOOGLETRANSLATE($B311,(""auto""),(""IT""))"),"Rimuovere il gruppo interruttore sinistro e destro - A3, A4")</f>
        <v>Rimuovere il gruppo interruttore sinistro e destro - A3, A4</v>
      </c>
      <c r="G311" s="12"/>
      <c r="H311" s="12"/>
      <c r="I311" s="12"/>
      <c r="J311" s="12"/>
      <c r="K311" s="12"/>
      <c r="L311" s="12"/>
      <c r="M311" s="12"/>
      <c r="N311" s="12"/>
      <c r="O311" s="12"/>
      <c r="P311" s="12"/>
      <c r="Q311" s="12"/>
      <c r="R311" s="12"/>
      <c r="S311" s="12"/>
      <c r="T311" s="12"/>
      <c r="U311" s="12"/>
      <c r="V311" s="12"/>
      <c r="W311" s="12"/>
      <c r="X311" s="12"/>
      <c r="Y311" s="12"/>
      <c r="Z311" s="12"/>
      <c r="AA311" s="12"/>
      <c r="AB311" s="12"/>
      <c r="AC311" s="12"/>
      <c r="AD311" s="12"/>
    </row>
    <row r="312" spans="1:30">
      <c r="A312" s="10">
        <v>10</v>
      </c>
      <c r="B312" s="11" t="s">
        <v>378</v>
      </c>
      <c r="C312" s="6"/>
      <c r="D312" s="11" t="str">
        <f ca="1">IFERROR(__xludf.DUMMYFUNCTION("GOOGLETRANSLATE($B312,(""auto""),(""es""))"),"Quite el manillar - B33")</f>
        <v>Quite el manillar - B33</v>
      </c>
      <c r="E312" s="11" t="str">
        <f ca="1">IFERROR(__xludf.DUMMYFUNCTION("GOOGLETRANSLATE($B312,(""auto""),(""FR""))"),"Enlever le guidon - B33")</f>
        <v>Enlever le guidon - B33</v>
      </c>
      <c r="F312" s="11" t="str">
        <f ca="1">IFERROR(__xludf.DUMMYFUNCTION("GOOGLETRANSLATE($B312,(""auto""),(""IT""))"),"Togliti il ​​manubrio - B33")</f>
        <v>Togliti il ​​manubrio - B33</v>
      </c>
      <c r="G312" s="12"/>
      <c r="H312" s="12"/>
      <c r="I312" s="12"/>
      <c r="J312" s="12"/>
      <c r="K312" s="12"/>
      <c r="L312" s="12"/>
      <c r="M312" s="12"/>
      <c r="N312" s="12"/>
      <c r="O312" s="12"/>
      <c r="P312" s="12"/>
      <c r="Q312" s="12"/>
      <c r="R312" s="12"/>
      <c r="S312" s="12"/>
      <c r="T312" s="12"/>
      <c r="U312" s="12"/>
      <c r="V312" s="12"/>
      <c r="W312" s="12"/>
      <c r="X312" s="12"/>
      <c r="Y312" s="12"/>
      <c r="Z312" s="12"/>
      <c r="AA312" s="12"/>
      <c r="AB312" s="12"/>
      <c r="AC312" s="12"/>
      <c r="AD312" s="12"/>
    </row>
    <row r="313" spans="1:30">
      <c r="A313" s="10">
        <v>11</v>
      </c>
      <c r="B313" s="11" t="s">
        <v>387</v>
      </c>
      <c r="C313" s="6"/>
      <c r="D313" s="11" t="str">
        <f ca="1">IFERROR(__xludf.DUMMYFUNCTION("GOOGLETRANSLATE($B313,(""auto""),(""es""))"),"Retire el mango post comp - b35")</f>
        <v>Retire el mango post comp - b35</v>
      </c>
      <c r="E313" s="11" t="str">
        <f ca="1">IFERROR(__xludf.DUMMYFUNCTION("GOOGLETRANSLATE($B313,(""auto""),(""FR""))"),"Retirez le Handle Post Comp - B35")</f>
        <v>Retirez le Handle Post Comp - B35</v>
      </c>
      <c r="F313" s="11" t="str">
        <f ca="1">IFERROR(__xludf.DUMMYFUNCTION("GOOGLETRANSLATE($B313,(""auto""),(""IT""))"),"Rimuovi il post -maniglia post comp - b35")</f>
        <v>Rimuovi il post -maniglia post comp - b35</v>
      </c>
      <c r="G313" s="12"/>
      <c r="H313" s="12"/>
      <c r="I313" s="12"/>
      <c r="J313" s="12"/>
      <c r="K313" s="12"/>
      <c r="L313" s="12"/>
      <c r="M313" s="12"/>
      <c r="N313" s="12"/>
      <c r="O313" s="12"/>
      <c r="P313" s="12"/>
      <c r="Q313" s="12"/>
      <c r="R313" s="12"/>
      <c r="S313" s="12"/>
      <c r="T313" s="12"/>
      <c r="U313" s="12"/>
      <c r="V313" s="12"/>
      <c r="W313" s="12"/>
      <c r="X313" s="12"/>
      <c r="Y313" s="12"/>
      <c r="Z313" s="12"/>
      <c r="AA313" s="12"/>
      <c r="AB313" s="12"/>
      <c r="AC313" s="12"/>
      <c r="AD313" s="12"/>
    </row>
    <row r="314" spans="1:30">
      <c r="A314" s="10">
        <v>12</v>
      </c>
      <c r="B314" s="11" t="s">
        <v>388</v>
      </c>
      <c r="C314" s="6"/>
      <c r="D314" s="11" t="str">
        <f ca="1">IFERROR(__xludf.DUMMYFUNCTION("GOOGLETRANSLATE($B314,(""auto""),(""es""))"),"Retire el vástago de dirección - B36")</f>
        <v>Retire el vástago de dirección - B36</v>
      </c>
      <c r="E314" s="11" t="str">
        <f ca="1">IFERROR(__xludf.DUMMYFUNCTION("GOOGLETRANSLATE($B314,(""auto""),(""FR""))"),"Retirez la tige de direction - B36")</f>
        <v>Retirez la tige de direction - B36</v>
      </c>
      <c r="F314" s="11" t="str">
        <f ca="1">IFERROR(__xludf.DUMMYFUNCTION("GOOGLETRANSLATE($B314,(""auto""),(""IT""))"),"Rimuovere lo stelo dello sterzo - B36")</f>
        <v>Rimuovere lo stelo dello sterzo - B36</v>
      </c>
      <c r="G314" s="12"/>
      <c r="H314" s="12"/>
      <c r="I314" s="12"/>
      <c r="J314" s="12"/>
      <c r="K314" s="12"/>
      <c r="L314" s="12"/>
      <c r="M314" s="12"/>
      <c r="N314" s="12"/>
      <c r="O314" s="12"/>
      <c r="P314" s="12"/>
      <c r="Q314" s="12"/>
      <c r="R314" s="12"/>
      <c r="S314" s="12"/>
      <c r="T314" s="12"/>
      <c r="U314" s="12"/>
      <c r="V314" s="12"/>
      <c r="W314" s="12"/>
      <c r="X314" s="12"/>
      <c r="Y314" s="12"/>
      <c r="Z314" s="12"/>
      <c r="AA314" s="12"/>
      <c r="AB314" s="12"/>
      <c r="AC314" s="12"/>
      <c r="AD314" s="12"/>
    </row>
    <row r="315" spans="1:30">
      <c r="A315" s="10">
        <v>13</v>
      </c>
      <c r="B315" s="11" t="s">
        <v>392</v>
      </c>
      <c r="C315" s="6"/>
      <c r="D315" s="11" t="str">
        <f ca="1">IFERROR(__xludf.DUMMYFUNCTION("GOOGLETRANSLATE($B315,(""auto""),(""es""))"),"Retire el guardabarros delantero - B29")</f>
        <v>Retire el guardabarros delantero - B29</v>
      </c>
      <c r="E315" s="11" t="str">
        <f ca="1">IFERROR(__xludf.DUMMYFUNCTION("GOOGLETRANSLATE($B315,(""auto""),(""FR""))"),"Retirez l'aile avant - B29")</f>
        <v>Retirez l'aile avant - B29</v>
      </c>
      <c r="F315" s="11" t="str">
        <f ca="1">IFERROR(__xludf.DUMMYFUNCTION("GOOGLETRANSLATE($B315,(""auto""),(""IT""))"),"Rimuovere il parafango anteriore - B29")</f>
        <v>Rimuovere il parafango anteriore - B29</v>
      </c>
      <c r="G315" s="12"/>
      <c r="H315" s="12"/>
      <c r="I315" s="12"/>
      <c r="J315" s="12"/>
      <c r="K315" s="12"/>
      <c r="L315" s="12"/>
      <c r="M315" s="12"/>
      <c r="N315" s="12"/>
      <c r="O315" s="12"/>
      <c r="P315" s="12"/>
      <c r="Q315" s="12"/>
      <c r="R315" s="12"/>
      <c r="S315" s="12"/>
      <c r="T315" s="12"/>
      <c r="U315" s="12"/>
      <c r="V315" s="12"/>
      <c r="W315" s="12"/>
      <c r="X315" s="12"/>
      <c r="Y315" s="12"/>
      <c r="Z315" s="12"/>
      <c r="AA315" s="12"/>
      <c r="AB315" s="12"/>
      <c r="AC315" s="12"/>
      <c r="AD315" s="12"/>
    </row>
    <row r="316" spans="1:30">
      <c r="A316" s="69" t="s">
        <v>150</v>
      </c>
      <c r="B316" s="70" t="s">
        <v>151</v>
      </c>
      <c r="C316" s="70" t="s">
        <v>152</v>
      </c>
      <c r="D316" s="70" t="str">
        <f ca="1">IFERROR(__xludf.DUMMYFUNCTION("GOOGLETRANSLATE(B316,(""auto""),(""es""))"),"Descripción")</f>
        <v>Descripción</v>
      </c>
      <c r="E316" s="70" t="str">
        <f ca="1">IFERROR(__xludf.DUMMYFUNCTION("GOOGLETRANSLATE(B316,(""auto""),(""fr""))"),"Description")</f>
        <v>Description</v>
      </c>
      <c r="F316" s="70" t="str">
        <f ca="1">IFERROR(__xludf.DUMMYFUNCTION("GOOGLETRANSLATE(D316,(""auto""),(""IT""))"),"Descrizione")</f>
        <v>Descrizione</v>
      </c>
    </row>
    <row r="317" spans="1:30" ht="106.5" customHeight="1">
      <c r="A317" s="10">
        <v>1</v>
      </c>
      <c r="B317" s="11" t="s">
        <v>393</v>
      </c>
      <c r="C317" s="6"/>
      <c r="D317" s="11" t="str">
        <f ca="1">IFERROR(__xludf.DUMMYFUNCTION("GOOGLETRANSLATE($B317,(""auto""),(""es""))"),"
Retire los 2 pernos de fijación del soporte de la pinza delantera en el anillo rojo con una llave de enchufe de 12 mm y quite la bomba de freno delantera")</f>
        <v xml:space="preserve">
Retire los 2 pernos de fijación del soporte de la pinza delantera en el anillo rojo con una llave de enchufe de 12 mm y quite la bomba de freno delantera</v>
      </c>
      <c r="E317" s="11" t="str">
        <f ca="1">IFERROR(__xludf.DUMMYFUNCTION("GOOGLETRANSLATE($B317,(""auto""),(""FR""))"),"
Retirez les 2 boulons de fixation du support d'étrier avant dans l'anneau rouge avec une clé à douille de 12 mm et enlevez la pompe de frein avant")</f>
        <v xml:space="preserve">
Retirez les 2 boulons de fixation du support d'étrier avant dans l'anneau rouge avec une clé à douille de 12 mm et enlevez la pompe de frein avant</v>
      </c>
      <c r="F317" s="11" t="str">
        <f ca="1">IFERROR(__xludf.DUMMYFUNCTION("GOOGLETRANSLATE($B317,(""auto""),(""IT""))"),"
Rimuovere i 2 bulloni di fissaggio della staffa della pinza anteriore nell'anello rosso con una chiave a presa da 12 mm e togliere la pompa del freno anteriore")</f>
        <v xml:space="preserve">
Rimuovere i 2 bulloni di fissaggio della staffa della pinza anteriore nell'anello rosso con una chiave a presa da 12 mm e togliere la pompa del freno anteriore</v>
      </c>
      <c r="G317" s="12"/>
      <c r="H317" s="12"/>
      <c r="I317" s="12"/>
      <c r="J317" s="12"/>
      <c r="K317" s="12"/>
      <c r="L317" s="12"/>
      <c r="M317" s="12"/>
      <c r="N317" s="12"/>
      <c r="O317" s="12"/>
      <c r="P317" s="12"/>
      <c r="Q317" s="12"/>
      <c r="R317" s="12"/>
      <c r="S317" s="12"/>
      <c r="T317" s="12"/>
      <c r="U317" s="12"/>
      <c r="V317" s="12"/>
      <c r="W317" s="12"/>
      <c r="X317" s="12"/>
      <c r="Y317" s="12"/>
      <c r="Z317" s="12"/>
      <c r="AA317" s="12"/>
      <c r="AB317" s="12"/>
      <c r="AC317" s="12"/>
      <c r="AD317" s="12"/>
    </row>
    <row r="318" spans="1:30" ht="97.5" customHeight="1">
      <c r="A318" s="10">
        <v>2</v>
      </c>
      <c r="B318" s="11" t="s">
        <v>394</v>
      </c>
      <c r="C318" s="6"/>
      <c r="D318" s="11" t="str">
        <f ca="1">IFERROR(__xludf.DUMMYFUNCTION("GOOGLETRANSLATE($B318,(""auto""),(""es""))"),"
Use una llave de enchufe de 14 mm para quitar los pernos izquierdo y derecho del círculo rojo para quitar el amortiguador delantero.")</f>
        <v xml:space="preserve">
Use una llave de enchufe de 14 mm para quitar los pernos izquierdo y derecho del círculo rojo para quitar el amortiguador delantero.</v>
      </c>
      <c r="E318" s="11" t="str">
        <f ca="1">IFERROR(__xludf.DUMMYFUNCTION("GOOGLETRANSLATE($B318,(""auto""),(""FR""))"),"
Utilisez une clé à douille de 14 mm pour retirer les boulons gauche et droit du cercle rouge pour retirer l'amortisseur avant.")</f>
        <v xml:space="preserve">
Utilisez une clé à douille de 14 mm pour retirer les boulons gauche et droit du cercle rouge pour retirer l'amortisseur avant.</v>
      </c>
      <c r="F318" s="11" t="str">
        <f ca="1">IFERROR(__xludf.DUMMYFUNCTION("GOOGLETRANSLATE($B318,(""auto""),(""IT""))"),"
Utilizzare una chiave a presa da 14 mm per rimuovere i bulloni sinistra e destra dal cerchio rosso per rimuovere l'assorbitore di ammortizzatore anteriore.")</f>
        <v xml:space="preserve">
Utilizzare una chiave a presa da 14 mm per rimuovere i bulloni sinistra e destra dal cerchio rosso per rimuovere l'assorbitore di ammortizzatore anteriore.</v>
      </c>
      <c r="G318" s="12"/>
      <c r="H318" s="12"/>
      <c r="I318" s="12"/>
      <c r="J318" s="12"/>
      <c r="K318" s="12"/>
      <c r="L318" s="12"/>
      <c r="M318" s="12"/>
      <c r="N318" s="12"/>
      <c r="O318" s="12"/>
      <c r="P318" s="12"/>
      <c r="Q318" s="12"/>
      <c r="R318" s="12"/>
      <c r="S318" s="12"/>
      <c r="T318" s="12"/>
      <c r="U318" s="12"/>
      <c r="V318" s="12"/>
      <c r="W318" s="12"/>
      <c r="X318" s="12"/>
      <c r="Y318" s="12"/>
      <c r="Z318" s="12"/>
      <c r="AA318" s="12"/>
      <c r="AB318" s="12"/>
      <c r="AC318" s="12"/>
      <c r="AD318" s="12"/>
    </row>
    <row r="319" spans="1:30" ht="26.25" customHeight="1">
      <c r="A319" s="73"/>
      <c r="B319" s="73" t="s">
        <v>395</v>
      </c>
      <c r="C319" s="73"/>
      <c r="D319" s="73" t="s">
        <v>396</v>
      </c>
      <c r="E319" s="73" t="str">
        <f ca="1">IFERROR(__xludf.DUMMYFUNCTION("GOOGLETRANSLATE($B319,(""auto""),(""FR""))"),"B39 - Assy de roue avant")</f>
        <v>B39 - Assy de roue avant</v>
      </c>
      <c r="F319" s="73" t="s">
        <v>397</v>
      </c>
      <c r="G319" s="9"/>
      <c r="H319" s="9"/>
      <c r="I319" s="9"/>
      <c r="J319" s="9"/>
      <c r="K319" s="9"/>
      <c r="L319" s="9"/>
      <c r="M319" s="9"/>
      <c r="N319" s="9"/>
      <c r="O319" s="9"/>
      <c r="P319" s="9"/>
      <c r="Q319" s="9"/>
      <c r="R319" s="9"/>
      <c r="S319" s="9"/>
      <c r="T319" s="9"/>
      <c r="U319" s="9"/>
      <c r="V319" s="9"/>
      <c r="W319" s="9"/>
      <c r="X319" s="9"/>
      <c r="Y319" s="9"/>
      <c r="Z319" s="9"/>
      <c r="AA319" s="9"/>
      <c r="AB319" s="9"/>
      <c r="AC319" s="9"/>
      <c r="AD319" s="9"/>
    </row>
    <row r="320" spans="1:30">
      <c r="A320" s="69" t="s">
        <v>145</v>
      </c>
      <c r="B320" s="70" t="s">
        <v>146</v>
      </c>
      <c r="C320" s="70" t="s">
        <v>147</v>
      </c>
      <c r="D320" s="70" t="str">
        <f ca="1">IFERROR(__xludf.DUMMYFUNCTION("GOOGLETRANSLATE(B320,(""auto""),(""es""))"),"Preparación:")</f>
        <v>Preparación:</v>
      </c>
      <c r="E320" s="70" t="str">
        <f ca="1">IFERROR(__xludf.DUMMYFUNCTION("GOOGLETRANSLATE(B320,(""auto""),(""fr""))"),"Préparation:")</f>
        <v>Préparation:</v>
      </c>
      <c r="F320" s="70" t="str">
        <f ca="1">IFERROR(__xludf.DUMMYFUNCTION("GOOGLETRANSLATE(D320,(""auto""),(""IT""))"),"Preparazione:")</f>
        <v>Preparazione:</v>
      </c>
    </row>
    <row r="321" spans="1:30">
      <c r="A321" s="10">
        <v>1</v>
      </c>
      <c r="B321" s="11" t="s">
        <v>398</v>
      </c>
      <c r="C321" s="6"/>
      <c r="D321" s="11" t="str">
        <f ca="1">IFERROR(__xludf.DUMMYFUNCTION("GOOGLETRANSLATE($B321,(""auto""),(""es""))"),"Retire las ruedas delanteras, prepare estantes para sostener el vehículo hacia arriba para que permanezca estable una vez que se retiren las ruedas delanteras.")</f>
        <v>Retire las ruedas delanteras, prepare estantes para sostener el vehículo hacia arriba para que permanezca estable una vez que se retiren las ruedas delanteras.</v>
      </c>
      <c r="E321" s="11" t="str">
        <f ca="1">IFERROR(__xludf.DUMMYFUNCTION("GOOGLETRANSLATE($B321,(""auto""),(""FR""))"),"Retirez les roues avant, préparez les étagères pour maintenir le véhicule afin qu'il reste stable une fois les roues avant retirées.")</f>
        <v>Retirez les roues avant, préparez les étagères pour maintenir le véhicule afin qu'il reste stable une fois les roues avant retirées.</v>
      </c>
      <c r="F321" s="11" t="str">
        <f ca="1">IFERROR(__xludf.DUMMYFUNCTION("GOOGLETRANSLATE($B321,(""auto""),(""IT""))"),"Rimuovere le ruote anteriori, preparare gli scaffali per trattenere il veicolo in modo che rimanga stabile una volta rimosse le ruote anteriori.")</f>
        <v>Rimuovere le ruote anteriori, preparare gli scaffali per trattenere il veicolo in modo che rimanga stabile una volta rimosse le ruote anteriori.</v>
      </c>
      <c r="G321" s="12"/>
      <c r="H321" s="12"/>
      <c r="I321" s="12"/>
      <c r="J321" s="12"/>
      <c r="K321" s="12"/>
      <c r="L321" s="12"/>
      <c r="M321" s="12"/>
      <c r="N321" s="12"/>
      <c r="O321" s="12"/>
      <c r="P321" s="12"/>
      <c r="Q321" s="12"/>
      <c r="R321" s="12"/>
      <c r="S321" s="12"/>
      <c r="T321" s="12"/>
      <c r="U321" s="12"/>
      <c r="V321" s="12"/>
      <c r="W321" s="12"/>
      <c r="X321" s="12"/>
      <c r="Y321" s="12"/>
      <c r="Z321" s="12"/>
      <c r="AA321" s="12"/>
      <c r="AB321" s="12"/>
      <c r="AC321" s="12"/>
      <c r="AD321" s="12"/>
    </row>
    <row r="322" spans="1:30">
      <c r="A322" s="69" t="s">
        <v>150</v>
      </c>
      <c r="B322" s="70" t="s">
        <v>151</v>
      </c>
      <c r="C322" s="70" t="s">
        <v>152</v>
      </c>
      <c r="D322" s="70" t="str">
        <f ca="1">IFERROR(__xludf.DUMMYFUNCTION("GOOGLETRANSLATE(B322,(""auto""),(""es""))"),"Descripción")</f>
        <v>Descripción</v>
      </c>
      <c r="E322" s="70" t="str">
        <f ca="1">IFERROR(__xludf.DUMMYFUNCTION("GOOGLETRANSLATE(B322,(""auto""),(""fr""))"),"Description")</f>
        <v>Description</v>
      </c>
      <c r="F322" s="70" t="str">
        <f ca="1">IFERROR(__xludf.DUMMYFUNCTION("GOOGLETRANSLATE(D322,(""auto""),(""IT""))"),"Descrizione")</f>
        <v>Descrizione</v>
      </c>
    </row>
    <row r="323" spans="1:30" ht="124.5" customHeight="1">
      <c r="A323" s="10">
        <v>1</v>
      </c>
      <c r="B323" s="11" t="s">
        <v>399</v>
      </c>
      <c r="C323" s="6"/>
      <c r="D323" s="11" t="str">
        <f ca="1">IFERROR(__xludf.DUMMYFUNCTION("GOOGLETRANSLATE($B323,(""auto""),(""es""))"),"
Use una llave de zócalo de 17 mm para atascar el tornillo del eje delantero, y una llave de 14 mm para atascar el lado opuesto del tornillo y aflojar el tornillo")</f>
        <v xml:space="preserve">
Use una llave de zócalo de 17 mm para atascar el tornillo del eje delantero, y una llave de 14 mm para atascar el lado opuesto del tornillo y aflojar el tornillo</v>
      </c>
      <c r="E323" s="11" t="str">
        <f ca="1">IFERROR(__xludf.DUMMYFUNCTION("GOOGLETRANSLATE($B323,(""auto""),(""FR""))"),"
Utilisez une clé à douille de 17 mm pour bloquer la vis de l'essieu avant, et une clé de 14 mm pour brouiller le côté opposé de la vis et desserrer la vis")</f>
        <v xml:space="preserve">
Utilisez une clé à douille de 17 mm pour bloquer la vis de l'essieu avant, et une clé de 14 mm pour brouiller le côté opposé de la vis et desserrer la vis</v>
      </c>
      <c r="F323" s="11" t="str">
        <f ca="1">IFERROR(__xludf.DUMMYFUNCTION("GOOGLETRANSLATE($B323,(""auto""),(""IT""))"),"
Utilizzare una chiave a presa da 17 mm per inceppare la vite dell'asse anteriore e una chiave da 14 mm per marmellata sul lato opposto della vite e allentare la vite")</f>
        <v xml:space="preserve">
Utilizzare una chiave a presa da 17 mm per inceppare la vite dell'asse anteriore e una chiave da 14 mm per marmellata sul lato opposto della vite e allentare la vite</v>
      </c>
      <c r="G323" s="12"/>
      <c r="H323" s="12"/>
      <c r="I323" s="12"/>
      <c r="J323" s="12"/>
      <c r="K323" s="12"/>
      <c r="L323" s="12"/>
      <c r="M323" s="12"/>
      <c r="N323" s="12"/>
      <c r="O323" s="12"/>
      <c r="P323" s="12"/>
      <c r="Q323" s="12"/>
      <c r="R323" s="12"/>
      <c r="S323" s="12"/>
      <c r="T323" s="12"/>
      <c r="U323" s="12"/>
      <c r="V323" s="12"/>
      <c r="W323" s="12"/>
      <c r="X323" s="12"/>
      <c r="Y323" s="12"/>
      <c r="Z323" s="12"/>
      <c r="AA323" s="12"/>
      <c r="AB323" s="12"/>
      <c r="AC323" s="12"/>
      <c r="AD323" s="12"/>
    </row>
    <row r="324" spans="1:30" ht="96.75" customHeight="1">
      <c r="A324" s="10">
        <v>2</v>
      </c>
      <c r="B324" s="11" t="s">
        <v>400</v>
      </c>
      <c r="C324" s="6"/>
      <c r="D324" s="11" t="str">
        <f ca="1">IFERROR(__xludf.DUMMYFUNCTION("GOOGLETRANSLATE($B324,(""auto""),(""es""))"),"
Después de aflojar el tornillo, extraiga el eje delantero y retire la rueda delantera de acuerdo con la dirección de la flecha")</f>
        <v xml:space="preserve">
Después de aflojar el tornillo, extraiga el eje delantero y retire la rueda delantera de acuerdo con la dirección de la flecha</v>
      </c>
      <c r="E324" s="11" t="str">
        <f ca="1">IFERROR(__xludf.DUMMYFUNCTION("GOOGLETRANSLATE($B324,(""auto""),(""FR""))"),"
Après avoir relâché la vis, retirez l'essieu avant et retirez la roue avant en fonction de la direction de la flèche")</f>
        <v xml:space="preserve">
Après avoir relâché la vis, retirez l'essieu avant et retirez la roue avant en fonction de la direction de la flèche</v>
      </c>
      <c r="F324" s="11" t="str">
        <f ca="1">IFERROR(__xludf.DUMMYFUNCTION("GOOGLETRANSLATE($B324,(""auto""),(""IT""))"),"
Dopo aver allentato la vite, estrarre l'asse anteriore e rimuovere la ruota anteriore in base alla direzione della freccia")</f>
        <v xml:space="preserve">
Dopo aver allentato la vite, estrarre l'asse anteriore e rimuovere la ruota anteriore in base alla direzione della freccia</v>
      </c>
      <c r="G324" s="12"/>
      <c r="H324" s="12"/>
      <c r="I324" s="12"/>
      <c r="J324" s="12"/>
      <c r="K324" s="12"/>
      <c r="L324" s="12"/>
      <c r="M324" s="12"/>
      <c r="N324" s="12"/>
      <c r="O324" s="12"/>
      <c r="P324" s="12"/>
      <c r="Q324" s="12"/>
      <c r="R324" s="12"/>
      <c r="S324" s="12"/>
      <c r="T324" s="12"/>
      <c r="U324" s="12"/>
      <c r="V324" s="12"/>
      <c r="W324" s="12"/>
      <c r="X324" s="12"/>
      <c r="Y324" s="12"/>
      <c r="Z324" s="12"/>
      <c r="AA324" s="12"/>
      <c r="AB324" s="12"/>
      <c r="AC324" s="12"/>
      <c r="AD324" s="12"/>
    </row>
    <row r="325" spans="1:30" ht="26.25" customHeight="1">
      <c r="A325" s="73"/>
      <c r="B325" s="73" t="s">
        <v>401</v>
      </c>
      <c r="C325" s="73"/>
      <c r="D325" s="73" t="str">
        <f ca="1">IFERROR(__xludf.DUMMYFUNCTION("GOOGLETRANSLATE($B325,(""auto""),(""es""))"),"B40 - soporte del lado izquierdo y derecho")</f>
        <v>B40 - soporte del lado izquierdo y derecho</v>
      </c>
      <c r="E325" s="73" t="str">
        <f ca="1">IFERROR(__xludf.DUMMYFUNCTION("GOOGLETRANSLATE($B325,(""auto""),(""FR""))"),"B40 - support côté gauche et droit")</f>
        <v>B40 - support côté gauche et droit</v>
      </c>
      <c r="F325" s="73" t="str">
        <f ca="1">IFERROR(__xludf.DUMMYFUNCTION("GOOGLETRANSLATE($B325,(""auto""),(""IT""))"),"B40 - supporto laterale sinistro e destro")</f>
        <v>B40 - supporto laterale sinistro e destro</v>
      </c>
      <c r="G325" s="9"/>
      <c r="H325" s="9"/>
      <c r="I325" s="9"/>
      <c r="J325" s="9"/>
      <c r="K325" s="9"/>
      <c r="L325" s="9"/>
      <c r="M325" s="9"/>
      <c r="N325" s="9"/>
      <c r="O325" s="9"/>
      <c r="P325" s="9"/>
      <c r="Q325" s="9"/>
      <c r="R325" s="9"/>
      <c r="S325" s="9"/>
      <c r="T325" s="9"/>
      <c r="U325" s="9"/>
      <c r="V325" s="9"/>
      <c r="W325" s="9"/>
      <c r="X325" s="9"/>
      <c r="Y325" s="9"/>
      <c r="Z325" s="9"/>
      <c r="AA325" s="9"/>
      <c r="AB325" s="9"/>
      <c r="AC325" s="9"/>
      <c r="AD325" s="9"/>
    </row>
    <row r="326" spans="1:30">
      <c r="A326" s="69" t="s">
        <v>145</v>
      </c>
      <c r="B326" s="70" t="s">
        <v>146</v>
      </c>
      <c r="C326" s="70" t="s">
        <v>147</v>
      </c>
      <c r="D326" s="70" t="str">
        <f ca="1">IFERROR(__xludf.DUMMYFUNCTION("GOOGLETRANSLATE(B326,(""auto""),(""es""))"),"Preparación:")</f>
        <v>Preparación:</v>
      </c>
      <c r="E326" s="70" t="str">
        <f ca="1">IFERROR(__xludf.DUMMYFUNCTION("GOOGLETRANSLATE(B326,(""auto""),(""fr""))"),"Préparation:")</f>
        <v>Préparation:</v>
      </c>
      <c r="F326" s="70" t="str">
        <f ca="1">IFERROR(__xludf.DUMMYFUNCTION("GOOGLETRANSLATE(D326,(""auto""),(""IT""))"),"Preparazione:")</f>
        <v>Preparazione:</v>
      </c>
    </row>
    <row r="327" spans="1:30">
      <c r="A327" s="10">
        <v>1</v>
      </c>
      <c r="B327" s="11" t="s">
        <v>402</v>
      </c>
      <c r="C327" s="6"/>
      <c r="D327" s="11" t="str">
        <f ca="1">IFERROR(__xludf.DUMMYFUNCTION("GOOGLETRANSLATE($B327,(""auto""),(""es""))"),"La eliminación del soporte lateral requiere que se levante el soporte principal para que el vehículo permanezca estable después de que se retire el soporte lateral.")</f>
        <v>La eliminación del soporte lateral requiere que se levante el soporte principal para que el vehículo permanezca estable después de que se retire el soporte lateral.</v>
      </c>
      <c r="E327" s="11" t="str">
        <f ca="1">IFERROR(__xludf.DUMMYFUNCTION("GOOGLETRANSLATE($B327,(""auto""),(""FR""))"),"Le retrait du support latéral nécessite que le support principal soit soulevé de sorte que le véhicule reste stable après le retrait du support latéral.")</f>
        <v>Le retrait du support latéral nécessite que le support principal soit soulevé de sorte que le véhicule reste stable après le retrait du support latéral.</v>
      </c>
      <c r="F327" s="11" t="str">
        <f ca="1">IFERROR(__xludf.DUMMYFUNCTION("GOOGLETRANSLATE($B327,(""auto""),(""IT""))"),"La rimozione della fascia laterale richiede che il supporto principale venga sollevato in modo che il veicolo rimanga stabile dopo che il supporto laterale viene rimosso.")</f>
        <v>La rimozione della fascia laterale richiede che il supporto principale venga sollevato in modo che il veicolo rimanga stabile dopo che il supporto laterale viene rimosso.</v>
      </c>
      <c r="G327" s="12"/>
      <c r="H327" s="12"/>
      <c r="I327" s="12"/>
      <c r="J327" s="12"/>
      <c r="K327" s="12"/>
      <c r="L327" s="12"/>
      <c r="M327" s="12"/>
      <c r="N327" s="12"/>
      <c r="O327" s="12"/>
      <c r="P327" s="12"/>
      <c r="Q327" s="12"/>
      <c r="R327" s="12"/>
      <c r="S327" s="12"/>
      <c r="T327" s="12"/>
      <c r="U327" s="12"/>
      <c r="V327" s="12"/>
      <c r="W327" s="12"/>
      <c r="X327" s="12"/>
      <c r="Y327" s="12"/>
      <c r="Z327" s="12"/>
      <c r="AA327" s="12"/>
      <c r="AB327" s="12"/>
      <c r="AC327" s="12"/>
      <c r="AD327" s="12"/>
    </row>
    <row r="328" spans="1:30">
      <c r="A328" s="69" t="s">
        <v>150</v>
      </c>
      <c r="B328" s="70" t="s">
        <v>151</v>
      </c>
      <c r="C328" s="70" t="s">
        <v>152</v>
      </c>
      <c r="D328" s="70" t="str">
        <f ca="1">IFERROR(__xludf.DUMMYFUNCTION("GOOGLETRANSLATE(B328,(""auto""),(""es""))"),"Descripción")</f>
        <v>Descripción</v>
      </c>
      <c r="E328" s="70" t="str">
        <f ca="1">IFERROR(__xludf.DUMMYFUNCTION("GOOGLETRANSLATE(B328,(""auto""),(""fr""))"),"Description")</f>
        <v>Description</v>
      </c>
      <c r="F328" s="70" t="str">
        <f ca="1">IFERROR(__xludf.DUMMYFUNCTION("GOOGLETRANSLATE(D328,(""auto""),(""IT""))"),"Descrizione")</f>
        <v>Descrizione</v>
      </c>
    </row>
    <row r="329" spans="1:30" ht="95.25" customHeight="1">
      <c r="A329" s="10">
        <v>1</v>
      </c>
      <c r="B329" s="11" t="s">
        <v>403</v>
      </c>
      <c r="C329" s="6"/>
      <c r="D329" s="11" t="str">
        <f ca="1">IFERROR(__xludf.DUMMYFUNCTION("GOOGLETRANSLATE($B329,(""auto""),(""es""))"),"
Retire los resortes de soporte lateral con alicates de nariz aguja")</f>
        <v xml:space="preserve">
Retire los resortes de soporte lateral con alicates de nariz aguja</v>
      </c>
      <c r="E329" s="11" t="str">
        <f ca="1">IFERROR(__xludf.DUMMYFUNCTION("GOOGLETRANSLATE($B329,(""auto""),(""FR""))"),"
Retirez les ressorts du support latéral avec des pinces à nez à l'aiguille")</f>
        <v xml:space="preserve">
Retirez les ressorts du support latéral avec des pinces à nez à l'aiguille</v>
      </c>
      <c r="F329" s="11" t="str">
        <f ca="1">IFERROR(__xludf.DUMMYFUNCTION("GOOGLETRANSLATE($B329,(""auto""),(""IT""))"),"
Rimuovere le molle del supporto laterale con pinze dal naso ad ago")</f>
        <v xml:space="preserve">
Rimuovere le molle del supporto laterale con pinze dal naso ad ago</v>
      </c>
      <c r="G329" s="12"/>
      <c r="H329" s="12"/>
      <c r="I329" s="12"/>
      <c r="J329" s="12"/>
      <c r="K329" s="12"/>
      <c r="L329" s="12"/>
      <c r="M329" s="12"/>
      <c r="N329" s="12"/>
      <c r="O329" s="12"/>
      <c r="P329" s="12"/>
      <c r="Q329" s="12"/>
      <c r="R329" s="12"/>
      <c r="S329" s="12"/>
      <c r="T329" s="12"/>
      <c r="U329" s="12"/>
      <c r="V329" s="12"/>
      <c r="W329" s="12"/>
      <c r="X329" s="12"/>
      <c r="Y329" s="12"/>
      <c r="Z329" s="12"/>
      <c r="AA329" s="12"/>
      <c r="AB329" s="12"/>
      <c r="AC329" s="12"/>
      <c r="AD329" s="12"/>
    </row>
    <row r="330" spans="1:30" ht="89.25" customHeight="1">
      <c r="A330" s="10">
        <v>2</v>
      </c>
      <c r="B330" s="11" t="s">
        <v>404</v>
      </c>
      <c r="C330" s="6"/>
      <c r="D330" s="11" t="str">
        <f ca="1">IFERROR(__xludf.DUMMYFUNCTION("GOOGLETRANSLATE($B330,(""auto""),(""es""))"),"Retire la tuerca lateral con una llave de zócalo de 17 mm, afloje la tuerca giratoria del eje, retire la tuerca y retire el soporte lateral")</f>
        <v>Retire la tuerca lateral con una llave de zócalo de 17 mm, afloje la tuerca giratoria del eje, retire la tuerca y retire el soporte lateral</v>
      </c>
      <c r="E330" s="11" t="str">
        <f ca="1">IFERROR(__xludf.DUMMYFUNCTION("GOOGLETRANSLATE($B330,(""auto""),(""FR""))"),"Retirez l'écrou du support latéral avec une clé à douille de 17 mm, desserrez l'écrou de l'arbre tournant, retirez l'écrou et retirez le support latéral")</f>
        <v>Retirez l'écrou du support latéral avec une clé à douille de 17 mm, desserrez l'écrou de l'arbre tournant, retirez l'écrou et retirez le support latéral</v>
      </c>
      <c r="F330" s="11" t="str">
        <f ca="1">IFERROR(__xludf.DUMMYFUNCTION("GOOGLETRANSLATE($B330,(""auto""),(""IT""))"),"Rimuovere il dado del supporto laterale con una chiave a presa da 17 mm, allentare il dado dell'albero rotante, rimuovere il dado e rimuovere il supporto laterale")</f>
        <v>Rimuovere il dado del supporto laterale con una chiave a presa da 17 mm, allentare il dado dell'albero rotante, rimuovere il dado e rimuovere il supporto laterale</v>
      </c>
      <c r="G330" s="12"/>
      <c r="H330" s="12"/>
      <c r="I330" s="12"/>
      <c r="J330" s="12"/>
      <c r="K330" s="12"/>
      <c r="L330" s="12"/>
      <c r="M330" s="12"/>
      <c r="N330" s="12"/>
      <c r="O330" s="12"/>
      <c r="P330" s="12"/>
      <c r="Q330" s="12"/>
      <c r="R330" s="12"/>
      <c r="S330" s="12"/>
      <c r="T330" s="12"/>
      <c r="U330" s="12"/>
      <c r="V330" s="12"/>
      <c r="W330" s="12"/>
      <c r="X330" s="12"/>
      <c r="Y330" s="12"/>
      <c r="Z330" s="12"/>
      <c r="AA330" s="12"/>
      <c r="AB330" s="12"/>
      <c r="AC330" s="12"/>
      <c r="AD330" s="12"/>
    </row>
    <row r="331" spans="1:30" ht="26.25" customHeight="1">
      <c r="A331" s="73"/>
      <c r="B331" s="73" t="s">
        <v>405</v>
      </c>
      <c r="C331" s="73"/>
      <c r="D331" s="73" t="str">
        <f ca="1">IFERROR(__xludf.DUMMYFUNCTION("GOOGLETRANSLATE($B331,(""auto""),(""es""))"),"B41 - Soporte principal")</f>
        <v>B41 - Soporte principal</v>
      </c>
      <c r="E331" s="73" t="str">
        <f ca="1">IFERROR(__xludf.DUMMYFUNCTION("GOOGLETRANSLATE($B331,(""auto""),(""FR""))"),"B41 - Stand principal")</f>
        <v>B41 - Stand principal</v>
      </c>
      <c r="F331" s="73" t="str">
        <f ca="1">IFERROR(__xludf.DUMMYFUNCTION("GOOGLETRANSLATE($B331,(""auto""),(""IT""))"),"B41 - Stand principale")</f>
        <v>B41 - Stand principale</v>
      </c>
      <c r="G331" s="9"/>
      <c r="H331" s="9"/>
      <c r="I331" s="9"/>
      <c r="J331" s="9"/>
      <c r="K331" s="9"/>
      <c r="L331" s="9"/>
      <c r="M331" s="9"/>
      <c r="N331" s="9"/>
      <c r="O331" s="9"/>
      <c r="P331" s="9"/>
      <c r="Q331" s="9"/>
      <c r="R331" s="9"/>
      <c r="S331" s="9"/>
      <c r="T331" s="9"/>
      <c r="U331" s="9"/>
      <c r="V331" s="9"/>
      <c r="W331" s="9"/>
      <c r="X331" s="9"/>
      <c r="Y331" s="9"/>
      <c r="Z331" s="9"/>
      <c r="AA331" s="9"/>
      <c r="AB331" s="9"/>
      <c r="AC331" s="9"/>
      <c r="AD331" s="9"/>
    </row>
    <row r="332" spans="1:30">
      <c r="A332" s="69" t="s">
        <v>145</v>
      </c>
      <c r="B332" s="70" t="s">
        <v>146</v>
      </c>
      <c r="C332" s="70" t="s">
        <v>147</v>
      </c>
      <c r="D332" s="70" t="str">
        <f ca="1">IFERROR(__xludf.DUMMYFUNCTION("GOOGLETRANSLATE(B332,(""auto""),(""es""))"),"Preparación:")</f>
        <v>Preparación:</v>
      </c>
      <c r="E332" s="70" t="str">
        <f ca="1">IFERROR(__xludf.DUMMYFUNCTION("GOOGLETRANSLATE(B332,(""auto""),(""fr""))"),"Préparation:")</f>
        <v>Préparation:</v>
      </c>
      <c r="F332" s="70" t="str">
        <f ca="1">IFERROR(__xludf.DUMMYFUNCTION("GOOGLETRANSLATE(D332,(""auto""),(""IT""))"),"Preparazione:")</f>
        <v>Preparazione:</v>
      </c>
    </row>
    <row r="333" spans="1:30">
      <c r="A333" s="10">
        <v>1</v>
      </c>
      <c r="B333" s="11" t="s">
        <v>406</v>
      </c>
      <c r="C333" s="6"/>
      <c r="D333" s="11" t="str">
        <f ca="1">IFERROR(__xludf.DUMMYFUNCTION("GOOGLETRANSLATE($B333,(""auto""),(""es""))"),"La eliminación del soporte principal requiere elevar el soporte lateral para que el vehículo permanezca estable después de que se retire el soporte principal.")</f>
        <v>La eliminación del soporte principal requiere elevar el soporte lateral para que el vehículo permanezca estable después de que se retire el soporte principal.</v>
      </c>
      <c r="E333" s="11" t="str">
        <f ca="1">IFERROR(__xludf.DUMMYFUNCTION("GOOGLETRANSLATE($B333,(""auto""),(""FR""))"),"L'enlèvement du support principal nécessite que le support latéral soit augmenté de sorte que le véhicule reste stable après la suppression du support principal.")</f>
        <v>L'enlèvement du support principal nécessite que le support latéral soit augmenté de sorte que le véhicule reste stable après la suppression du support principal.</v>
      </c>
      <c r="F333" s="11" t="str">
        <f ca="1">IFERROR(__xludf.DUMMYFUNCTION("GOOGLETRANSLATE($B333,(""auto""),(""IT""))"),"La rimozione del supporto principale richiede che il supporto laterale venga sollevato in modo che il veicolo rimanga stabile dopo la rimozione del supporto principale.")</f>
        <v>La rimozione del supporto principale richiede che il supporto laterale venga sollevato in modo che il veicolo rimanga stabile dopo la rimozione del supporto principale.</v>
      </c>
      <c r="G333" s="12"/>
      <c r="H333" s="12"/>
      <c r="I333" s="12"/>
      <c r="J333" s="12"/>
      <c r="K333" s="12"/>
      <c r="L333" s="12"/>
      <c r="M333" s="12"/>
      <c r="N333" s="12"/>
      <c r="O333" s="12"/>
      <c r="P333" s="12"/>
      <c r="Q333" s="12"/>
      <c r="R333" s="12"/>
      <c r="S333" s="12"/>
      <c r="T333" s="12"/>
      <c r="U333" s="12"/>
      <c r="V333" s="12"/>
      <c r="W333" s="12"/>
      <c r="X333" s="12"/>
      <c r="Y333" s="12"/>
      <c r="Z333" s="12"/>
      <c r="AA333" s="12"/>
      <c r="AB333" s="12"/>
      <c r="AC333" s="12"/>
      <c r="AD333" s="12"/>
    </row>
    <row r="334" spans="1:30">
      <c r="A334" s="69" t="s">
        <v>150</v>
      </c>
      <c r="B334" s="70" t="s">
        <v>151</v>
      </c>
      <c r="C334" s="70" t="s">
        <v>152</v>
      </c>
      <c r="D334" s="70" t="str">
        <f ca="1">IFERROR(__xludf.DUMMYFUNCTION("GOOGLETRANSLATE(B334,(""auto""),(""es""))"),"Descripción")</f>
        <v>Descripción</v>
      </c>
      <c r="E334" s="70" t="str">
        <f ca="1">IFERROR(__xludf.DUMMYFUNCTION("GOOGLETRANSLATE(B334,(""auto""),(""fr""))"),"Description")</f>
        <v>Description</v>
      </c>
      <c r="F334" s="70" t="str">
        <f ca="1">IFERROR(__xludf.DUMMYFUNCTION("GOOGLETRANSLATE(D334,(""auto""),(""IT""))"),"Descrizione")</f>
        <v>Descrizione</v>
      </c>
    </row>
    <row r="335" spans="1:30">
      <c r="A335" s="10">
        <v>1</v>
      </c>
      <c r="B335" s="11" t="s">
        <v>407</v>
      </c>
      <c r="C335" s="6"/>
      <c r="D335" s="11" t="str">
        <f ca="1">IFERROR(__xludf.DUMMYFUNCTION("GOOGLETRANSLATE($B335,(""auto""),(""es""))"),"Retire el resorte de soporte principal con alicates de nariz aguja")</f>
        <v>Retire el resorte de soporte principal con alicates de nariz aguja</v>
      </c>
      <c r="E335" s="11" t="str">
        <f ca="1">IFERROR(__xludf.DUMMYFUNCTION("GOOGLETRANSLATE($B335,(""auto""),(""FR""))"),"Retirez le ressort du support principal avec des pinces à nez aiguille")</f>
        <v>Retirez le ressort du support principal avec des pinces à nez aiguille</v>
      </c>
      <c r="F335" s="11" t="str">
        <f ca="1">IFERROR(__xludf.DUMMYFUNCTION("GOOGLETRANSLATE($B335,(""auto""),(""IT""))"),"Rimuovere la molla principale con pinze dal naso ad ago")</f>
        <v>Rimuovere la molla principale con pinze dal naso ad ago</v>
      </c>
      <c r="G335" s="12"/>
      <c r="H335" s="12"/>
      <c r="I335" s="12"/>
      <c r="J335" s="12"/>
      <c r="K335" s="12"/>
      <c r="L335" s="12"/>
      <c r="M335" s="12"/>
      <c r="N335" s="12"/>
      <c r="O335" s="12"/>
      <c r="P335" s="12"/>
      <c r="Q335" s="12"/>
      <c r="R335" s="12"/>
      <c r="S335" s="12"/>
      <c r="T335" s="12"/>
      <c r="U335" s="12"/>
      <c r="V335" s="12"/>
      <c r="W335" s="12"/>
      <c r="X335" s="12"/>
      <c r="Y335" s="12"/>
      <c r="Z335" s="12"/>
      <c r="AA335" s="12"/>
      <c r="AB335" s="12"/>
      <c r="AC335" s="12"/>
      <c r="AD335" s="12"/>
    </row>
    <row r="336" spans="1:30" ht="102" customHeight="1">
      <c r="A336" s="10">
        <v>2</v>
      </c>
      <c r="B336" s="11" t="s">
        <v>408</v>
      </c>
      <c r="C336" s="6"/>
      <c r="D336" s="11" t="str">
        <f ca="1">IFERROR(__xludf.DUMMYFUNCTION("GOOGLETRANSLATE($B336,(""auto""),(""es""))"),"
Retire el rodillero principal con alicates de nariz de aguja")</f>
        <v xml:space="preserve">
Retire el rodillero principal con alicates de nariz de aguja</v>
      </c>
      <c r="E336" s="11" t="str">
        <f ca="1">IFERROR(__xludf.DUMMYFUNCTION("GOOGLETRANSLATE($B336,(""auto""),(""FR""))"),"
Retirez le stand principal circlip avec des pinces à nez à l'aiguille")</f>
        <v xml:space="preserve">
Retirez le stand principal circlip avec des pinces à nez à l'aiguille</v>
      </c>
      <c r="F336" s="11" t="str">
        <f ca="1">IFERROR(__xludf.DUMMYFUNCTION("GOOGLETRANSLATE($B336,(""auto""),(""IT""))"),"
Rimuovere lo stand principale cerchia con pinze dal naso ad ago")</f>
        <v xml:space="preserve">
Rimuovere lo stand principale cerchia con pinze dal naso ad ago</v>
      </c>
      <c r="G336" s="12"/>
      <c r="H336" s="12"/>
      <c r="I336" s="12"/>
      <c r="J336" s="12"/>
      <c r="K336" s="12"/>
      <c r="L336" s="12"/>
      <c r="M336" s="12"/>
      <c r="N336" s="12"/>
      <c r="O336" s="12"/>
      <c r="P336" s="12"/>
      <c r="Q336" s="12"/>
      <c r="R336" s="12"/>
      <c r="S336" s="12"/>
      <c r="T336" s="12"/>
      <c r="U336" s="12"/>
      <c r="V336" s="12"/>
      <c r="W336" s="12"/>
      <c r="X336" s="12"/>
      <c r="Y336" s="12"/>
      <c r="Z336" s="12"/>
      <c r="AA336" s="12"/>
      <c r="AB336" s="12"/>
      <c r="AC336" s="12"/>
      <c r="AD336" s="12"/>
    </row>
    <row r="337" spans="1:30" ht="92.25" customHeight="1">
      <c r="A337" s="10">
        <v>3</v>
      </c>
      <c r="B337" s="11" t="s">
        <v>409</v>
      </c>
      <c r="C337" s="6"/>
      <c r="D337" s="11" t="str">
        <f ca="1">IFERROR(__xludf.DUMMYFUNCTION("GOOGLETRANSLATE($B337,(""auto""),(""es""))"),"
Dibuja el eje del soporte principal en la dirección de la flecha y retira el soporte principal")</f>
        <v xml:space="preserve">
Dibuja el eje del soporte principal en la dirección de la flecha y retira el soporte principal</v>
      </c>
      <c r="E337" s="11" t="str">
        <f ca="1">IFERROR(__xludf.DUMMYFUNCTION("GOOGLETRANSLATE($B337,(""auto""),(""FR""))"),"
Dessinez l'axe du support principal dans le sens de la flèche et retirez le support principal")</f>
        <v xml:space="preserve">
Dessinez l'axe du support principal dans le sens de la flèche et retirez le support principal</v>
      </c>
      <c r="F337" s="11" t="str">
        <f ca="1">IFERROR(__xludf.DUMMYFUNCTION("GOOGLETRANSLATE($B337,(""auto""),(""IT""))"),"
Disegna l'asse di supporto principale nella direzione della freccia e rimuovi il supporto principale")</f>
        <v xml:space="preserve">
Disegna l'asse di supporto principale nella direzione della freccia e rimuovi il supporto principale</v>
      </c>
      <c r="G337" s="12"/>
      <c r="H337" s="12"/>
      <c r="I337" s="12"/>
      <c r="J337" s="12"/>
      <c r="K337" s="12"/>
      <c r="L337" s="12"/>
      <c r="M337" s="12"/>
      <c r="N337" s="12"/>
      <c r="O337" s="12"/>
      <c r="P337" s="12"/>
      <c r="Q337" s="12"/>
      <c r="R337" s="12"/>
      <c r="S337" s="12"/>
      <c r="T337" s="12"/>
      <c r="U337" s="12"/>
      <c r="V337" s="12"/>
      <c r="W337" s="12"/>
      <c r="X337" s="12"/>
      <c r="Y337" s="12"/>
      <c r="Z337" s="12"/>
      <c r="AA337" s="12"/>
      <c r="AB337" s="12"/>
      <c r="AC337" s="12"/>
      <c r="AD337" s="12"/>
    </row>
    <row r="338" spans="1:30" ht="26.25" customHeight="1">
      <c r="A338" s="73"/>
      <c r="B338" s="73" t="s">
        <v>410</v>
      </c>
      <c r="C338" s="73"/>
      <c r="D338" s="73" t="str">
        <f ca="1">IFERROR(__xludf.DUMMYFUNCTION("GOOGLETRANSLATE($B338,(""auto""),(""es""))"),"B42 - disco de freno delantero/trasero")</f>
        <v>B42 - disco de freno delantero/trasero</v>
      </c>
      <c r="E338" s="73" t="str">
        <f ca="1">IFERROR(__xludf.DUMMYFUNCTION("GOOGLETRANSLATE($B338,(""auto""),(""FR""))"),"B42 - disque de frein avant / arrière")</f>
        <v>B42 - disque de frein avant / arrière</v>
      </c>
      <c r="F338" s="73" t="str">
        <f ca="1">IFERROR(__xludf.DUMMYFUNCTION("GOOGLETRANSLATE($B338,(""auto""),(""IT""))"),"B42 - disco del freno anteriore/posteriore")</f>
        <v>B42 - disco del freno anteriore/posteriore</v>
      </c>
      <c r="G338" s="9"/>
      <c r="H338" s="9"/>
      <c r="I338" s="9"/>
      <c r="J338" s="9"/>
      <c r="K338" s="9"/>
      <c r="L338" s="9"/>
      <c r="M338" s="9"/>
      <c r="N338" s="9"/>
      <c r="O338" s="9"/>
      <c r="P338" s="9"/>
      <c r="Q338" s="9"/>
      <c r="R338" s="9"/>
      <c r="S338" s="9"/>
      <c r="T338" s="9"/>
      <c r="U338" s="9"/>
      <c r="V338" s="9"/>
      <c r="W338" s="9"/>
      <c r="X338" s="9"/>
      <c r="Y338" s="9"/>
      <c r="Z338" s="9"/>
      <c r="AA338" s="9"/>
      <c r="AB338" s="9"/>
      <c r="AC338" s="9"/>
      <c r="AD338" s="9"/>
    </row>
    <row r="339" spans="1:30">
      <c r="A339" s="69" t="s">
        <v>145</v>
      </c>
      <c r="B339" s="70" t="s">
        <v>146</v>
      </c>
      <c r="C339" s="70" t="s">
        <v>147</v>
      </c>
      <c r="D339" s="70" t="str">
        <f ca="1">IFERROR(__xludf.DUMMYFUNCTION("GOOGLETRANSLATE(B339,(""auto""),(""es""))"),"Preparación:")</f>
        <v>Preparación:</v>
      </c>
      <c r="E339" s="70" t="str">
        <f ca="1">IFERROR(__xludf.DUMMYFUNCTION("GOOGLETRANSLATE(B339,(""auto""),(""fr""))"),"Préparation:")</f>
        <v>Préparation:</v>
      </c>
      <c r="F339" s="70" t="str">
        <f ca="1">IFERROR(__xludf.DUMMYFUNCTION("GOOGLETRANSLATE(D339,(""auto""),(""IT""))"),"Preparazione:")</f>
        <v>Preparazione:</v>
      </c>
    </row>
    <row r="340" spans="1:30">
      <c r="A340" s="10">
        <v>1</v>
      </c>
      <c r="B340" s="11" t="s">
        <v>411</v>
      </c>
      <c r="C340" s="6"/>
      <c r="D340" s="11" t="str">
        <f ca="1">IFERROR(__xludf.DUMMYFUNCTION("GOOGLETRANSLATE($B340,(""auto""),(""es""))"),"Retire las ruedas delanteras o traseras (motor trasero) - B39/B11")</f>
        <v>Retire las ruedas delanteras o traseras (motor trasero) - B39/B11</v>
      </c>
      <c r="E340" s="11" t="str">
        <f ca="1">IFERROR(__xludf.DUMMYFUNCTION("GOOGLETRANSLATE($B340,(""auto""),(""FR""))"),"Retirez les roues avant ou arrière (moteur arrière) - B39 / B11")</f>
        <v>Retirez les roues avant ou arrière (moteur arrière) - B39 / B11</v>
      </c>
      <c r="F340" s="11" t="str">
        <f ca="1">IFERROR(__xludf.DUMMYFUNCTION("GOOGLETRANSLATE($B340,(""auto""),(""IT""))"),"Rimuovere le ruote anteriori o posteriori (motore posteriore) - B39/B11")</f>
        <v>Rimuovere le ruote anteriori o posteriori (motore posteriore) - B39/B11</v>
      </c>
      <c r="G340" s="12"/>
      <c r="H340" s="12"/>
      <c r="I340" s="12"/>
      <c r="J340" s="12"/>
      <c r="K340" s="12"/>
      <c r="L340" s="12"/>
      <c r="M340" s="12"/>
      <c r="N340" s="12"/>
      <c r="O340" s="12"/>
      <c r="P340" s="12"/>
      <c r="Q340" s="12"/>
      <c r="R340" s="12"/>
      <c r="S340" s="12"/>
      <c r="T340" s="12"/>
      <c r="U340" s="12"/>
      <c r="V340" s="12"/>
      <c r="W340" s="12"/>
      <c r="X340" s="12"/>
      <c r="Y340" s="12"/>
      <c r="Z340" s="12"/>
      <c r="AA340" s="12"/>
      <c r="AB340" s="12"/>
      <c r="AC340" s="12"/>
      <c r="AD340" s="12"/>
    </row>
    <row r="341" spans="1:30">
      <c r="A341" s="69" t="s">
        <v>150</v>
      </c>
      <c r="B341" s="70" t="s">
        <v>151</v>
      </c>
      <c r="C341" s="70" t="s">
        <v>152</v>
      </c>
      <c r="D341" s="70" t="str">
        <f ca="1">IFERROR(__xludf.DUMMYFUNCTION("GOOGLETRANSLATE(B341,(""auto""),(""es""))"),"Descripción")</f>
        <v>Descripción</v>
      </c>
      <c r="E341" s="70" t="str">
        <f ca="1">IFERROR(__xludf.DUMMYFUNCTION("GOOGLETRANSLATE(B341,(""auto""),(""fr""))"),"Description")</f>
        <v>Description</v>
      </c>
      <c r="F341" s="70" t="str">
        <f ca="1">IFERROR(__xludf.DUMMYFUNCTION("GOOGLETRANSLATE(D341,(""auto""),(""IT""))"),"Descrizione")</f>
        <v>Descrizione</v>
      </c>
      <c r="AB341" s="12"/>
      <c r="AC341" s="12"/>
      <c r="AD341" s="12"/>
    </row>
    <row r="342" spans="1:30">
      <c r="A342" s="10">
        <v>1</v>
      </c>
      <c r="B342" s="11" t="s">
        <v>412</v>
      </c>
      <c r="C342" s="11"/>
      <c r="D342" s="11" t="str">
        <f ca="1">IFERROR(__xludf.DUMMYFUNCTION("GOOGLETRANSLATE($B342,(""auto""),(""es""))"),"Retire los primeros cuatro y tres pernos de fijación del disco de freno con una llave hexagonal de 6 mm y retire el disco de freno.")</f>
        <v>Retire los primeros cuatro y tres pernos de fijación del disco de freno con una llave hexagonal de 6 mm y retire el disco de freno.</v>
      </c>
      <c r="E342" s="11" t="str">
        <f ca="1">IFERROR(__xludf.DUMMYFUNCTION("GOOGLETRANSLATE($B342,(""auto""),(""FR""))"),"Retirez les quatre et trois boulons de fixation du disque de frein avec une clé hexagone de 6 mm et retirez le disque de frein.")</f>
        <v>Retirez les quatre et trois boulons de fixation du disque de frein avec une clé hexagone de 6 mm et retirez le disque de frein.</v>
      </c>
      <c r="F342" s="11" t="str">
        <f ca="1">IFERROR(__xludf.DUMMYFUNCTION("GOOGLETRANSLATE($B342,(""auto""),(""IT""))"),"Rimuovere i primi quattro e tre bulloni di fissaggio del disco del freno con una chiave per esagono da 6 mm e rimuovere il disco del freno.")</f>
        <v>Rimuovere i primi quattro e tre bulloni di fissaggio del disco del freno con una chiave per esagono da 6 mm e rimuovere il disco del freno.</v>
      </c>
    </row>
    <row r="343" spans="1:30" ht="97.5" customHeight="1">
      <c r="A343" s="6"/>
      <c r="B343" s="10" t="s">
        <v>413</v>
      </c>
      <c r="C343" s="6"/>
      <c r="D343" s="11" t="str">
        <f ca="1">IFERROR(__xludf.DUMMYFUNCTION("GOOGLETRANSLATE($B343,(""auto""),(""es""))"),"
Nota: Debido al tratamiento de pegado del tornillo de disco de freno durante la instalación, se debe prestar atención para eliminar el tornillo para evitar la lesión causada por el deslizamiento del perno de enchufe hexágono.")</f>
        <v xml:space="preserve">
Nota: Debido al tratamiento de pegado del tornillo de disco de freno durante la instalación, se debe prestar atención para eliminar el tornillo para evitar la lesión causada por el deslizamiento del perno de enchufe hexágono.</v>
      </c>
      <c r="E343" s="11" t="str">
        <f ca="1">IFERROR(__xludf.DUMMYFUNCTION("GOOGLETRANSLATE($B343,(""auto""),(""FR""))"),"
Remarque: En raison du traitement du collage de la vis du disque de frein lors de l'installation, l'attention doit être accordée pour retirer la vis pour éviter la blessure causée par le glissement du boulon à douille hexagone!")</f>
        <v xml:space="preserve">
Remarque: En raison du traitement du collage de la vis du disque de frein lors de l'installation, l'attention doit être accordée pour retirer la vis pour éviter la blessure causée par le glissement du boulon à douille hexagone!</v>
      </c>
      <c r="F343" s="11" t="str">
        <f ca="1">IFERROR(__xludf.DUMMYFUNCTION("GOOGLETRANSLATE($B343,(""auto""),(""IT""))"),"
NOTA: a causa del trattamento incollato della vite del disco del freno durante l'installazione, è necessario prestare attenzione per rimuovere la vite per evitare la lesione causata dallo slittamento del bullone della presa esagonale!")</f>
        <v xml:space="preserve">
NOTA: a causa del trattamento incollato della vite del disco del freno durante l'installazione, è necessario prestare attenzione per rimuovere la vite per evitare la lesione causata dallo slittamento del bullone della presa esagonale!</v>
      </c>
      <c r="G343" s="12"/>
      <c r="H343" s="12"/>
      <c r="I343" s="12"/>
      <c r="J343" s="12"/>
      <c r="K343" s="12"/>
      <c r="L343" s="12"/>
      <c r="M343" s="12"/>
      <c r="N343" s="12"/>
      <c r="O343" s="12"/>
      <c r="P343" s="12"/>
      <c r="Q343" s="12"/>
      <c r="R343" s="12"/>
      <c r="S343" s="12"/>
      <c r="T343" s="12"/>
      <c r="U343" s="12"/>
      <c r="V343" s="12"/>
      <c r="W343" s="12"/>
      <c r="X343" s="12"/>
      <c r="Y343" s="12"/>
      <c r="Z343" s="12"/>
      <c r="AA343" s="12"/>
      <c r="AB343" s="12"/>
      <c r="AC343" s="12"/>
      <c r="AD343" s="12"/>
    </row>
    <row r="344" spans="1:30" ht="15.75" customHeight="1">
      <c r="A344" s="14"/>
      <c r="B344" s="6"/>
      <c r="C344" s="6"/>
      <c r="D344" s="6"/>
      <c r="E344" s="6"/>
      <c r="F344" s="6"/>
    </row>
    <row r="345" spans="1:30" ht="15.75" customHeight="1">
      <c r="A345" s="14"/>
      <c r="B345" s="6"/>
      <c r="C345" s="6"/>
      <c r="D345" s="6"/>
      <c r="E345" s="6"/>
      <c r="F345" s="6"/>
    </row>
    <row r="346" spans="1:30" ht="15.75" customHeight="1">
      <c r="A346" s="14"/>
      <c r="B346" s="6"/>
      <c r="C346" s="6"/>
      <c r="D346" s="6"/>
      <c r="E346" s="6"/>
      <c r="F346" s="6"/>
    </row>
    <row r="347" spans="1:30" ht="15.75" customHeight="1">
      <c r="A347" s="14"/>
      <c r="B347" s="6"/>
      <c r="C347" s="6"/>
      <c r="D347" s="6"/>
      <c r="E347" s="6"/>
      <c r="F347" s="6"/>
    </row>
    <row r="348" spans="1:30" ht="15.75" customHeight="1">
      <c r="A348" s="14"/>
      <c r="B348" s="6"/>
      <c r="C348" s="6"/>
      <c r="D348" s="6"/>
      <c r="E348" s="6"/>
      <c r="F348" s="6"/>
    </row>
    <row r="349" spans="1:30" ht="15.75" customHeight="1">
      <c r="A349" s="14"/>
      <c r="B349" s="6"/>
      <c r="C349" s="6"/>
      <c r="D349" s="6"/>
      <c r="E349" s="6"/>
      <c r="F349" s="6"/>
    </row>
    <row r="350" spans="1:30" ht="15.75" customHeight="1">
      <c r="A350" s="14"/>
      <c r="B350" s="6"/>
      <c r="C350" s="6"/>
      <c r="D350" s="6"/>
      <c r="E350" s="6"/>
      <c r="F350" s="6"/>
    </row>
    <row r="351" spans="1:30" ht="15.75" customHeight="1">
      <c r="A351" s="14"/>
      <c r="B351" s="6"/>
      <c r="C351" s="6"/>
      <c r="D351" s="6"/>
      <c r="E351" s="6"/>
      <c r="F351" s="6"/>
    </row>
    <row r="352" spans="1:30" ht="15.75" customHeight="1">
      <c r="A352" s="14"/>
      <c r="B352" s="6"/>
      <c r="C352" s="6"/>
      <c r="D352" s="6"/>
      <c r="E352" s="6"/>
      <c r="F352" s="6"/>
    </row>
    <row r="353" spans="1:6" ht="15.75" customHeight="1">
      <c r="A353" s="14"/>
      <c r="B353" s="6"/>
      <c r="C353" s="6"/>
      <c r="D353" s="6"/>
      <c r="E353" s="6"/>
      <c r="F353" s="6"/>
    </row>
    <row r="354" spans="1:6" ht="15.75" customHeight="1">
      <c r="A354" s="14"/>
      <c r="B354" s="6"/>
      <c r="C354" s="6"/>
      <c r="D354" s="6"/>
      <c r="E354" s="6"/>
      <c r="F354" s="6"/>
    </row>
    <row r="355" spans="1:6" ht="15.75" customHeight="1">
      <c r="A355" s="14"/>
      <c r="B355" s="6"/>
      <c r="C355" s="6"/>
      <c r="D355" s="6"/>
      <c r="E355" s="6"/>
      <c r="F355" s="6"/>
    </row>
    <row r="356" spans="1:6" ht="15.75" customHeight="1">
      <c r="A356" s="14"/>
      <c r="B356" s="6"/>
      <c r="C356" s="6"/>
      <c r="D356" s="6"/>
      <c r="E356" s="6"/>
      <c r="F356" s="6"/>
    </row>
    <row r="357" spans="1:6" ht="15.75" customHeight="1">
      <c r="A357" s="14"/>
      <c r="B357" s="6"/>
      <c r="C357" s="6"/>
      <c r="D357" s="6"/>
      <c r="E357" s="6"/>
      <c r="F357" s="6"/>
    </row>
    <row r="358" spans="1:6" ht="15.75" customHeight="1">
      <c r="A358" s="14"/>
      <c r="B358" s="6"/>
      <c r="C358" s="6"/>
      <c r="D358" s="6"/>
      <c r="E358" s="6"/>
      <c r="F358" s="6"/>
    </row>
    <row r="359" spans="1:6" ht="15.75" customHeight="1">
      <c r="A359" s="14"/>
      <c r="B359" s="6"/>
      <c r="C359" s="6"/>
      <c r="D359" s="6"/>
      <c r="E359" s="6"/>
      <c r="F359" s="6"/>
    </row>
    <row r="360" spans="1:6" ht="15.75" customHeight="1">
      <c r="A360" s="14"/>
      <c r="B360" s="6"/>
      <c r="C360" s="6"/>
      <c r="D360" s="6"/>
      <c r="E360" s="6"/>
      <c r="F360" s="6"/>
    </row>
    <row r="361" spans="1:6" ht="15.75" customHeight="1">
      <c r="A361" s="14"/>
      <c r="B361" s="6"/>
      <c r="C361" s="6"/>
      <c r="D361" s="6"/>
      <c r="E361" s="6"/>
      <c r="F361" s="6"/>
    </row>
    <row r="362" spans="1:6" ht="15.75" customHeight="1">
      <c r="A362" s="14"/>
      <c r="B362" s="6"/>
      <c r="C362" s="6"/>
      <c r="D362" s="6"/>
      <c r="E362" s="6"/>
      <c r="F362" s="6"/>
    </row>
    <row r="363" spans="1:6" ht="15.75" customHeight="1">
      <c r="A363" s="14"/>
      <c r="B363" s="6"/>
      <c r="C363" s="6"/>
      <c r="D363" s="6"/>
      <c r="E363" s="6"/>
      <c r="F363" s="6"/>
    </row>
    <row r="364" spans="1:6" ht="15.75" customHeight="1">
      <c r="A364" s="14"/>
      <c r="B364" s="6"/>
      <c r="C364" s="6"/>
      <c r="D364" s="6"/>
      <c r="E364" s="6"/>
      <c r="F364" s="6"/>
    </row>
    <row r="365" spans="1:6" ht="15.75" customHeight="1">
      <c r="A365" s="14"/>
      <c r="B365" s="6"/>
      <c r="C365" s="6"/>
      <c r="D365" s="6"/>
      <c r="E365" s="6"/>
      <c r="F365" s="6"/>
    </row>
    <row r="366" spans="1:6" ht="15.75" customHeight="1">
      <c r="A366" s="14"/>
      <c r="B366" s="6"/>
      <c r="C366" s="6"/>
      <c r="D366" s="6"/>
      <c r="E366" s="6"/>
      <c r="F366" s="6"/>
    </row>
    <row r="367" spans="1:6" ht="15.75" customHeight="1">
      <c r="A367" s="14"/>
      <c r="B367" s="6"/>
      <c r="C367" s="6"/>
      <c r="D367" s="6"/>
      <c r="E367" s="6"/>
      <c r="F367" s="6"/>
    </row>
    <row r="368" spans="1:6" ht="15.75" customHeight="1">
      <c r="A368" s="14"/>
      <c r="B368" s="6"/>
      <c r="C368" s="6"/>
      <c r="D368" s="6"/>
      <c r="E368" s="6"/>
      <c r="F368" s="6"/>
    </row>
    <row r="369" spans="1:6" ht="15.75" customHeight="1">
      <c r="A369" s="14"/>
      <c r="B369" s="6"/>
      <c r="C369" s="6"/>
      <c r="D369" s="6"/>
      <c r="E369" s="6"/>
      <c r="F369" s="6"/>
    </row>
    <row r="370" spans="1:6" ht="15.75" customHeight="1">
      <c r="A370" s="14"/>
      <c r="B370" s="6"/>
      <c r="C370" s="6"/>
      <c r="D370" s="6"/>
      <c r="E370" s="6"/>
      <c r="F370" s="6"/>
    </row>
    <row r="371" spans="1:6" ht="15.75" customHeight="1">
      <c r="A371" s="14"/>
      <c r="B371" s="6"/>
      <c r="C371" s="6"/>
      <c r="D371" s="6"/>
      <c r="E371" s="6"/>
      <c r="F371" s="6"/>
    </row>
    <row r="372" spans="1:6" ht="15.75" customHeight="1">
      <c r="A372" s="14"/>
      <c r="B372" s="6"/>
      <c r="C372" s="6"/>
      <c r="D372" s="6"/>
      <c r="E372" s="6"/>
      <c r="F372" s="6"/>
    </row>
    <row r="373" spans="1:6" ht="15.75" customHeight="1">
      <c r="A373" s="14"/>
      <c r="B373" s="6"/>
      <c r="C373" s="6"/>
      <c r="D373" s="6"/>
      <c r="E373" s="6"/>
      <c r="F373" s="6"/>
    </row>
    <row r="374" spans="1:6" ht="15.75" customHeight="1">
      <c r="A374" s="14"/>
      <c r="B374" s="6"/>
      <c r="C374" s="6"/>
      <c r="D374" s="6"/>
      <c r="E374" s="6"/>
      <c r="F374" s="6"/>
    </row>
    <row r="375" spans="1:6" ht="15.75" customHeight="1">
      <c r="A375" s="14"/>
      <c r="B375" s="6"/>
      <c r="C375" s="6"/>
      <c r="D375" s="6"/>
      <c r="E375" s="6"/>
      <c r="F375" s="6"/>
    </row>
    <row r="376" spans="1:6" ht="15.75" customHeight="1">
      <c r="A376" s="14"/>
      <c r="B376" s="6"/>
      <c r="C376" s="6"/>
      <c r="D376" s="6"/>
      <c r="E376" s="6"/>
      <c r="F376" s="6"/>
    </row>
    <row r="377" spans="1:6" ht="15.75" customHeight="1">
      <c r="A377" s="14"/>
      <c r="B377" s="6"/>
      <c r="C377" s="6"/>
      <c r="D377" s="6"/>
      <c r="E377" s="6"/>
      <c r="F377" s="6"/>
    </row>
    <row r="378" spans="1:6" ht="15.75" customHeight="1">
      <c r="A378" s="14"/>
      <c r="B378" s="6"/>
      <c r="C378" s="6"/>
      <c r="D378" s="6"/>
      <c r="E378" s="6"/>
      <c r="F378" s="6"/>
    </row>
    <row r="379" spans="1:6" ht="15.75" customHeight="1">
      <c r="A379" s="14"/>
      <c r="B379" s="6"/>
      <c r="C379" s="6"/>
      <c r="D379" s="6"/>
      <c r="E379" s="6"/>
      <c r="F379" s="6"/>
    </row>
    <row r="380" spans="1:6" ht="15.75" customHeight="1">
      <c r="A380" s="14"/>
      <c r="B380" s="6"/>
      <c r="C380" s="6"/>
      <c r="D380" s="6"/>
      <c r="E380" s="6"/>
      <c r="F380" s="6"/>
    </row>
    <row r="381" spans="1:6" ht="15.75" customHeight="1">
      <c r="A381" s="14"/>
      <c r="B381" s="6"/>
      <c r="C381" s="6"/>
      <c r="D381" s="6"/>
      <c r="E381" s="6"/>
      <c r="F381" s="6"/>
    </row>
    <row r="382" spans="1:6" ht="15.75" customHeight="1">
      <c r="A382" s="14"/>
      <c r="B382" s="6"/>
      <c r="C382" s="6"/>
      <c r="D382" s="6"/>
      <c r="E382" s="6"/>
      <c r="F382" s="6"/>
    </row>
    <row r="383" spans="1:6" ht="15.75" customHeight="1">
      <c r="A383" s="14"/>
      <c r="B383" s="6"/>
      <c r="C383" s="6"/>
      <c r="D383" s="6"/>
      <c r="E383" s="6"/>
      <c r="F383" s="6"/>
    </row>
    <row r="384" spans="1:6" ht="15.75" customHeight="1">
      <c r="A384" s="14"/>
      <c r="B384" s="6"/>
      <c r="C384" s="6"/>
      <c r="D384" s="6"/>
      <c r="E384" s="6"/>
      <c r="F384" s="6"/>
    </row>
    <row r="385" spans="1:6" ht="15.75" customHeight="1">
      <c r="A385" s="14"/>
      <c r="B385" s="6"/>
      <c r="C385" s="6"/>
      <c r="D385" s="6"/>
      <c r="E385" s="6"/>
      <c r="F385" s="6"/>
    </row>
    <row r="386" spans="1:6" ht="15.75" customHeight="1">
      <c r="A386" s="14"/>
      <c r="B386" s="6"/>
      <c r="C386" s="6"/>
      <c r="D386" s="6"/>
      <c r="E386" s="6"/>
      <c r="F386" s="6"/>
    </row>
    <row r="387" spans="1:6" ht="15.75" customHeight="1">
      <c r="A387" s="14"/>
      <c r="B387" s="6"/>
      <c r="C387" s="6"/>
      <c r="D387" s="6"/>
      <c r="E387" s="6"/>
      <c r="F387" s="6"/>
    </row>
    <row r="388" spans="1:6" ht="15.75" customHeight="1">
      <c r="A388" s="14"/>
      <c r="B388" s="6"/>
      <c r="C388" s="6"/>
      <c r="D388" s="6"/>
      <c r="E388" s="6"/>
      <c r="F388" s="6"/>
    </row>
    <row r="389" spans="1:6" ht="15.75" customHeight="1">
      <c r="A389" s="14"/>
      <c r="B389" s="6"/>
      <c r="C389" s="6"/>
      <c r="D389" s="6"/>
      <c r="E389" s="6"/>
      <c r="F389" s="6"/>
    </row>
    <row r="390" spans="1:6" ht="15.75" customHeight="1">
      <c r="A390" s="14"/>
      <c r="B390" s="6"/>
      <c r="C390" s="6"/>
      <c r="D390" s="6"/>
      <c r="E390" s="6"/>
      <c r="F390" s="6"/>
    </row>
    <row r="391" spans="1:6" ht="15.75" customHeight="1">
      <c r="A391" s="14"/>
      <c r="B391" s="6"/>
      <c r="C391" s="6"/>
      <c r="D391" s="6"/>
      <c r="E391" s="6"/>
      <c r="F391" s="6"/>
    </row>
    <row r="392" spans="1:6" ht="15.75" customHeight="1">
      <c r="A392" s="14"/>
      <c r="B392" s="6"/>
      <c r="C392" s="6"/>
      <c r="D392" s="6"/>
      <c r="E392" s="6"/>
      <c r="F392" s="6"/>
    </row>
    <row r="393" spans="1:6" ht="15.75" customHeight="1">
      <c r="A393" s="14"/>
      <c r="B393" s="6"/>
      <c r="C393" s="6"/>
      <c r="D393" s="6"/>
      <c r="E393" s="6"/>
      <c r="F393" s="6"/>
    </row>
    <row r="394" spans="1:6" ht="15.75" customHeight="1">
      <c r="A394" s="14"/>
      <c r="B394" s="6"/>
      <c r="C394" s="6"/>
      <c r="D394" s="6"/>
      <c r="E394" s="6"/>
      <c r="F394" s="6"/>
    </row>
    <row r="395" spans="1:6" ht="15.75" customHeight="1">
      <c r="A395" s="14"/>
      <c r="B395" s="6"/>
      <c r="C395" s="6"/>
      <c r="D395" s="6"/>
      <c r="E395" s="6"/>
      <c r="F395" s="6"/>
    </row>
    <row r="396" spans="1:6" ht="15.75" customHeight="1">
      <c r="A396" s="14"/>
      <c r="B396" s="6"/>
      <c r="C396" s="6"/>
      <c r="D396" s="6"/>
      <c r="E396" s="6"/>
      <c r="F396" s="6"/>
    </row>
    <row r="397" spans="1:6" ht="15.75" customHeight="1">
      <c r="A397" s="14"/>
      <c r="B397" s="6"/>
      <c r="C397" s="6"/>
      <c r="D397" s="6"/>
      <c r="E397" s="6"/>
      <c r="F397" s="6"/>
    </row>
    <row r="398" spans="1:6" ht="15.75" customHeight="1">
      <c r="A398" s="14"/>
      <c r="B398" s="6"/>
      <c r="C398" s="6"/>
      <c r="D398" s="6"/>
      <c r="E398" s="6"/>
      <c r="F398" s="6"/>
    </row>
    <row r="399" spans="1:6" ht="15.75" customHeight="1">
      <c r="A399" s="14"/>
      <c r="B399" s="6"/>
      <c r="C399" s="6"/>
      <c r="D399" s="6"/>
      <c r="E399" s="6"/>
      <c r="F399" s="6"/>
    </row>
    <row r="400" spans="1:6" ht="15.75" customHeight="1">
      <c r="A400" s="14"/>
      <c r="B400" s="6"/>
      <c r="C400" s="6"/>
      <c r="D400" s="6"/>
      <c r="E400" s="6"/>
      <c r="F400" s="6"/>
    </row>
    <row r="401" spans="1:6" ht="15.75" customHeight="1">
      <c r="A401" s="14"/>
      <c r="B401" s="6"/>
      <c r="C401" s="6"/>
      <c r="D401" s="6"/>
      <c r="E401" s="6"/>
      <c r="F401" s="6"/>
    </row>
    <row r="402" spans="1:6" ht="15.75" customHeight="1">
      <c r="A402" s="14"/>
      <c r="B402" s="6"/>
      <c r="C402" s="6"/>
      <c r="D402" s="6"/>
      <c r="E402" s="6"/>
      <c r="F402" s="6"/>
    </row>
    <row r="403" spans="1:6" ht="15.75" customHeight="1">
      <c r="A403" s="14"/>
      <c r="B403" s="6"/>
      <c r="C403" s="6"/>
      <c r="D403" s="6"/>
      <c r="E403" s="6"/>
      <c r="F403" s="6"/>
    </row>
    <row r="404" spans="1:6" ht="15.75" customHeight="1">
      <c r="A404" s="14"/>
      <c r="B404" s="6"/>
      <c r="C404" s="6"/>
      <c r="D404" s="6"/>
      <c r="E404" s="6"/>
      <c r="F404" s="6"/>
    </row>
    <row r="405" spans="1:6" ht="15.75" customHeight="1">
      <c r="A405" s="14"/>
      <c r="B405" s="6"/>
      <c r="C405" s="6"/>
      <c r="D405" s="6"/>
      <c r="E405" s="6"/>
      <c r="F405" s="6"/>
    </row>
    <row r="406" spans="1:6" ht="15.75" customHeight="1">
      <c r="A406" s="14"/>
      <c r="B406" s="6"/>
      <c r="C406" s="6"/>
      <c r="D406" s="6"/>
      <c r="E406" s="6"/>
      <c r="F406" s="6"/>
    </row>
    <row r="407" spans="1:6" ht="15.75" customHeight="1">
      <c r="A407" s="14"/>
      <c r="B407" s="6"/>
      <c r="C407" s="6"/>
      <c r="D407" s="6"/>
      <c r="E407" s="6"/>
      <c r="F407" s="6"/>
    </row>
    <row r="408" spans="1:6" ht="15.75" customHeight="1">
      <c r="A408" s="14"/>
      <c r="B408" s="6"/>
      <c r="C408" s="6"/>
      <c r="D408" s="6"/>
      <c r="E408" s="6"/>
      <c r="F408" s="6"/>
    </row>
    <row r="409" spans="1:6" ht="15.75" customHeight="1">
      <c r="A409" s="14"/>
      <c r="B409" s="6"/>
      <c r="C409" s="6"/>
      <c r="D409" s="6"/>
      <c r="E409" s="6"/>
      <c r="F409" s="6"/>
    </row>
    <row r="410" spans="1:6" ht="15.75" customHeight="1">
      <c r="A410" s="14"/>
      <c r="B410" s="6"/>
      <c r="C410" s="6"/>
      <c r="D410" s="6"/>
      <c r="E410" s="6"/>
      <c r="F410" s="6"/>
    </row>
    <row r="411" spans="1:6" ht="15.75" customHeight="1">
      <c r="A411" s="14"/>
      <c r="B411" s="6"/>
      <c r="C411" s="6"/>
      <c r="D411" s="6"/>
      <c r="E411" s="6"/>
      <c r="F411" s="6"/>
    </row>
    <row r="412" spans="1:6" ht="15.75" customHeight="1">
      <c r="A412" s="14"/>
      <c r="B412" s="6"/>
      <c r="C412" s="6"/>
      <c r="D412" s="6"/>
      <c r="E412" s="6"/>
      <c r="F412" s="6"/>
    </row>
    <row r="413" spans="1:6" ht="15.75" customHeight="1">
      <c r="A413" s="14"/>
      <c r="B413" s="6"/>
      <c r="C413" s="6"/>
      <c r="D413" s="6"/>
      <c r="E413" s="6"/>
      <c r="F413" s="6"/>
    </row>
    <row r="414" spans="1:6" ht="15.75" customHeight="1">
      <c r="A414" s="14"/>
      <c r="B414" s="6"/>
      <c r="C414" s="6"/>
      <c r="D414" s="6"/>
      <c r="E414" s="6"/>
      <c r="F414" s="6"/>
    </row>
    <row r="415" spans="1:6" ht="15.75" customHeight="1">
      <c r="A415" s="14"/>
      <c r="B415" s="6"/>
      <c r="C415" s="6"/>
      <c r="D415" s="6"/>
      <c r="E415" s="6"/>
      <c r="F415" s="6"/>
    </row>
    <row r="416" spans="1:6" ht="15.75" customHeight="1">
      <c r="A416" s="14"/>
      <c r="B416" s="6"/>
      <c r="C416" s="6"/>
      <c r="D416" s="6"/>
      <c r="E416" s="6"/>
      <c r="F416" s="6"/>
    </row>
    <row r="417" spans="1:6" ht="15.75" customHeight="1">
      <c r="A417" s="14"/>
      <c r="B417" s="6"/>
      <c r="C417" s="6"/>
      <c r="D417" s="6"/>
      <c r="E417" s="6"/>
      <c r="F417" s="6"/>
    </row>
    <row r="418" spans="1:6" ht="15.75" customHeight="1">
      <c r="A418" s="14"/>
      <c r="B418" s="6"/>
      <c r="C418" s="6"/>
      <c r="D418" s="6"/>
      <c r="E418" s="6"/>
      <c r="F418" s="6"/>
    </row>
    <row r="419" spans="1:6" ht="15.75" customHeight="1">
      <c r="A419" s="14"/>
      <c r="B419" s="6"/>
      <c r="C419" s="6"/>
      <c r="D419" s="6"/>
      <c r="E419" s="6"/>
      <c r="F419" s="6"/>
    </row>
    <row r="420" spans="1:6" ht="15.75" customHeight="1">
      <c r="A420" s="14"/>
      <c r="B420" s="6"/>
      <c r="C420" s="6"/>
      <c r="D420" s="6"/>
      <c r="E420" s="6"/>
      <c r="F420" s="6"/>
    </row>
    <row r="421" spans="1:6" ht="15.75" customHeight="1">
      <c r="A421" s="14"/>
      <c r="B421" s="6"/>
      <c r="C421" s="6"/>
      <c r="D421" s="6"/>
      <c r="E421" s="6"/>
      <c r="F421" s="6"/>
    </row>
    <row r="422" spans="1:6" ht="15.75" customHeight="1">
      <c r="A422" s="14"/>
      <c r="B422" s="6"/>
      <c r="C422" s="6"/>
      <c r="D422" s="6"/>
      <c r="E422" s="6"/>
      <c r="F422" s="6"/>
    </row>
    <row r="423" spans="1:6" ht="15.75" customHeight="1">
      <c r="A423" s="14"/>
      <c r="B423" s="6"/>
      <c r="C423" s="6"/>
      <c r="D423" s="6"/>
      <c r="E423" s="6"/>
      <c r="F423" s="6"/>
    </row>
    <row r="424" spans="1:6" ht="15.75" customHeight="1">
      <c r="A424" s="14"/>
      <c r="B424" s="6"/>
      <c r="C424" s="6"/>
      <c r="D424" s="6"/>
      <c r="E424" s="6"/>
      <c r="F424" s="6"/>
    </row>
    <row r="425" spans="1:6" ht="15.75" customHeight="1">
      <c r="A425" s="14"/>
      <c r="B425" s="6"/>
      <c r="C425" s="6"/>
      <c r="D425" s="6"/>
      <c r="E425" s="6"/>
      <c r="F425" s="6"/>
    </row>
    <row r="426" spans="1:6" ht="15.75" customHeight="1">
      <c r="A426" s="14"/>
      <c r="B426" s="6"/>
      <c r="C426" s="6"/>
      <c r="D426" s="6"/>
      <c r="E426" s="6"/>
      <c r="F426" s="6"/>
    </row>
    <row r="427" spans="1:6" ht="15.75" customHeight="1">
      <c r="A427" s="14"/>
      <c r="B427" s="6"/>
      <c r="C427" s="6"/>
      <c r="D427" s="6"/>
      <c r="E427" s="6"/>
      <c r="F427" s="6"/>
    </row>
    <row r="428" spans="1:6" ht="15.75" customHeight="1">
      <c r="A428" s="14"/>
      <c r="B428" s="6"/>
      <c r="C428" s="6"/>
      <c r="D428" s="6"/>
      <c r="E428" s="6"/>
      <c r="F428" s="6"/>
    </row>
    <row r="429" spans="1:6" ht="15.75" customHeight="1">
      <c r="A429" s="14"/>
      <c r="B429" s="6"/>
      <c r="C429" s="6"/>
      <c r="D429" s="6"/>
      <c r="E429" s="6"/>
      <c r="F429" s="6"/>
    </row>
    <row r="430" spans="1:6" ht="15.75" customHeight="1">
      <c r="A430" s="14"/>
      <c r="B430" s="6"/>
      <c r="C430" s="6"/>
      <c r="D430" s="6"/>
      <c r="E430" s="6"/>
      <c r="F430" s="6"/>
    </row>
    <row r="431" spans="1:6" ht="15.75" customHeight="1">
      <c r="A431" s="14"/>
      <c r="B431" s="6"/>
      <c r="C431" s="6"/>
      <c r="D431" s="6"/>
      <c r="E431" s="6"/>
      <c r="F431" s="6"/>
    </row>
    <row r="432" spans="1:6" ht="15.75" customHeight="1">
      <c r="A432" s="14"/>
      <c r="B432" s="6"/>
      <c r="C432" s="6"/>
      <c r="D432" s="6"/>
      <c r="E432" s="6"/>
      <c r="F432" s="6"/>
    </row>
    <row r="433" spans="1:6" ht="15.75" customHeight="1">
      <c r="A433" s="14"/>
      <c r="B433" s="6"/>
      <c r="C433" s="6"/>
      <c r="D433" s="6"/>
      <c r="E433" s="6"/>
      <c r="F433" s="6"/>
    </row>
    <row r="434" spans="1:6" ht="15.75" customHeight="1">
      <c r="A434" s="14"/>
      <c r="B434" s="6"/>
      <c r="C434" s="6"/>
      <c r="D434" s="6"/>
      <c r="E434" s="6"/>
      <c r="F434" s="6"/>
    </row>
    <row r="435" spans="1:6" ht="15.75" customHeight="1">
      <c r="A435" s="14"/>
      <c r="B435" s="6"/>
      <c r="C435" s="6"/>
      <c r="D435" s="6"/>
      <c r="E435" s="6"/>
      <c r="F435" s="6"/>
    </row>
    <row r="436" spans="1:6" ht="15.75" customHeight="1">
      <c r="A436" s="14"/>
      <c r="B436" s="6"/>
      <c r="C436" s="6"/>
      <c r="D436" s="6"/>
      <c r="E436" s="6"/>
      <c r="F436" s="6"/>
    </row>
    <row r="437" spans="1:6" ht="15.75" customHeight="1">
      <c r="A437" s="14"/>
      <c r="B437" s="6"/>
      <c r="C437" s="6"/>
      <c r="D437" s="6"/>
      <c r="E437" s="6"/>
      <c r="F437" s="6"/>
    </row>
    <row r="438" spans="1:6" ht="15.75" customHeight="1">
      <c r="A438" s="14"/>
      <c r="B438" s="6"/>
      <c r="C438" s="6"/>
      <c r="D438" s="6"/>
      <c r="E438" s="6"/>
      <c r="F438" s="6"/>
    </row>
    <row r="439" spans="1:6" ht="15.75" customHeight="1">
      <c r="A439" s="14"/>
      <c r="B439" s="6"/>
      <c r="C439" s="6"/>
      <c r="D439" s="6"/>
      <c r="E439" s="6"/>
      <c r="F439" s="6"/>
    </row>
    <row r="440" spans="1:6" ht="15.75" customHeight="1">
      <c r="A440" s="14"/>
      <c r="B440" s="6"/>
      <c r="C440" s="6"/>
      <c r="D440" s="6"/>
      <c r="E440" s="6"/>
      <c r="F440" s="6"/>
    </row>
    <row r="441" spans="1:6" ht="15.75" customHeight="1">
      <c r="A441" s="14"/>
      <c r="B441" s="6"/>
      <c r="C441" s="6"/>
      <c r="D441" s="6"/>
      <c r="E441" s="6"/>
      <c r="F441" s="6"/>
    </row>
    <row r="442" spans="1:6" ht="15.75" customHeight="1">
      <c r="A442" s="14"/>
      <c r="B442" s="6"/>
      <c r="C442" s="6"/>
      <c r="D442" s="6"/>
      <c r="E442" s="6"/>
      <c r="F442" s="6"/>
    </row>
    <row r="443" spans="1:6" ht="15.75" customHeight="1">
      <c r="A443" s="14"/>
      <c r="B443" s="6"/>
      <c r="C443" s="6"/>
      <c r="D443" s="6"/>
      <c r="E443" s="6"/>
      <c r="F443" s="6"/>
    </row>
    <row r="444" spans="1:6" ht="15.75" customHeight="1">
      <c r="A444" s="14"/>
      <c r="B444" s="6"/>
      <c r="C444" s="6"/>
      <c r="D444" s="6"/>
      <c r="E444" s="6"/>
      <c r="F444" s="6"/>
    </row>
    <row r="445" spans="1:6" ht="15.75" customHeight="1">
      <c r="A445" s="14"/>
      <c r="B445" s="6"/>
      <c r="C445" s="6"/>
      <c r="D445" s="6"/>
      <c r="E445" s="6"/>
      <c r="F445" s="6"/>
    </row>
    <row r="446" spans="1:6" ht="15.75" customHeight="1">
      <c r="A446" s="14"/>
      <c r="B446" s="6"/>
      <c r="C446" s="6"/>
      <c r="D446" s="6"/>
      <c r="E446" s="6"/>
      <c r="F446" s="6"/>
    </row>
    <row r="447" spans="1:6" ht="15.75" customHeight="1">
      <c r="A447" s="14"/>
      <c r="B447" s="6"/>
      <c r="C447" s="6"/>
      <c r="D447" s="6"/>
      <c r="E447" s="6"/>
      <c r="F447" s="6"/>
    </row>
    <row r="448" spans="1:6" ht="15.75" customHeight="1">
      <c r="A448" s="14"/>
      <c r="B448" s="6"/>
      <c r="C448" s="6"/>
      <c r="D448" s="6"/>
      <c r="E448" s="6"/>
      <c r="F448" s="6"/>
    </row>
    <row r="449" spans="1:6" ht="15.75" customHeight="1">
      <c r="A449" s="14"/>
      <c r="B449" s="6"/>
      <c r="C449" s="6"/>
      <c r="D449" s="6"/>
      <c r="E449" s="6"/>
      <c r="F449" s="6"/>
    </row>
    <row r="450" spans="1:6" ht="15.75" customHeight="1">
      <c r="A450" s="14"/>
      <c r="B450" s="6"/>
      <c r="C450" s="6"/>
      <c r="D450" s="6"/>
      <c r="E450" s="6"/>
      <c r="F450" s="6"/>
    </row>
    <row r="451" spans="1:6" ht="15.75" customHeight="1">
      <c r="A451" s="14"/>
      <c r="B451" s="6"/>
      <c r="C451" s="6"/>
      <c r="D451" s="6"/>
      <c r="E451" s="6"/>
      <c r="F451" s="6"/>
    </row>
    <row r="452" spans="1:6" ht="15.75" customHeight="1">
      <c r="A452" s="14"/>
      <c r="B452" s="6"/>
      <c r="C452" s="6"/>
      <c r="D452" s="6"/>
      <c r="E452" s="6"/>
      <c r="F452" s="6"/>
    </row>
    <row r="453" spans="1:6" ht="15.75" customHeight="1">
      <c r="A453" s="14"/>
      <c r="B453" s="6"/>
      <c r="C453" s="6"/>
      <c r="D453" s="6"/>
      <c r="E453" s="6"/>
      <c r="F453" s="6"/>
    </row>
    <row r="454" spans="1:6" ht="15.75" customHeight="1">
      <c r="A454" s="14"/>
      <c r="B454" s="6"/>
      <c r="C454" s="6"/>
      <c r="D454" s="6"/>
      <c r="E454" s="6"/>
      <c r="F454" s="6"/>
    </row>
    <row r="455" spans="1:6" ht="15.75" customHeight="1">
      <c r="A455" s="14"/>
      <c r="B455" s="6"/>
      <c r="C455" s="6"/>
      <c r="D455" s="6"/>
      <c r="E455" s="6"/>
      <c r="F455" s="6"/>
    </row>
    <row r="456" spans="1:6" ht="15.75" customHeight="1">
      <c r="A456" s="14"/>
      <c r="B456" s="6"/>
      <c r="C456" s="6"/>
      <c r="D456" s="6"/>
      <c r="E456" s="6"/>
      <c r="F456" s="6"/>
    </row>
    <row r="457" spans="1:6" ht="15.75" customHeight="1">
      <c r="A457" s="14"/>
      <c r="B457" s="6"/>
      <c r="C457" s="6"/>
      <c r="D457" s="6"/>
      <c r="E457" s="6"/>
      <c r="F457" s="6"/>
    </row>
    <row r="458" spans="1:6" ht="15.75" customHeight="1">
      <c r="A458" s="14"/>
      <c r="B458" s="6"/>
      <c r="C458" s="6"/>
      <c r="D458" s="6"/>
      <c r="E458" s="6"/>
      <c r="F458" s="6"/>
    </row>
    <row r="459" spans="1:6" ht="15.75" customHeight="1">
      <c r="A459" s="14"/>
      <c r="B459" s="6"/>
      <c r="C459" s="6"/>
      <c r="D459" s="6"/>
      <c r="E459" s="6"/>
      <c r="F459" s="6"/>
    </row>
    <row r="460" spans="1:6" ht="15.75" customHeight="1">
      <c r="A460" s="14"/>
      <c r="B460" s="6"/>
      <c r="C460" s="6"/>
      <c r="D460" s="6"/>
      <c r="E460" s="6"/>
      <c r="F460" s="6"/>
    </row>
    <row r="461" spans="1:6" ht="15.75" customHeight="1">
      <c r="A461" s="14"/>
      <c r="B461" s="6"/>
      <c r="C461" s="6"/>
      <c r="D461" s="6"/>
      <c r="E461" s="6"/>
      <c r="F461" s="6"/>
    </row>
    <row r="462" spans="1:6" ht="15.75" customHeight="1">
      <c r="A462" s="14"/>
      <c r="B462" s="6"/>
      <c r="C462" s="6"/>
      <c r="D462" s="6"/>
      <c r="E462" s="6"/>
      <c r="F462" s="6"/>
    </row>
    <row r="463" spans="1:6" ht="15.75" customHeight="1">
      <c r="A463" s="14"/>
      <c r="B463" s="6"/>
      <c r="C463" s="6"/>
      <c r="D463" s="6"/>
      <c r="E463" s="6"/>
      <c r="F463" s="6"/>
    </row>
    <row r="464" spans="1:6" ht="15.75" customHeight="1">
      <c r="A464" s="14"/>
      <c r="B464" s="6"/>
      <c r="C464" s="6"/>
      <c r="D464" s="6"/>
      <c r="E464" s="6"/>
      <c r="F464" s="6"/>
    </row>
    <row r="465" spans="1:6" ht="15.75" customHeight="1">
      <c r="A465" s="14"/>
      <c r="B465" s="6"/>
      <c r="C465" s="6"/>
      <c r="D465" s="6"/>
      <c r="E465" s="6"/>
      <c r="F465" s="6"/>
    </row>
    <row r="466" spans="1:6" ht="15.75" customHeight="1">
      <c r="A466" s="14"/>
      <c r="B466" s="6"/>
      <c r="C466" s="6"/>
      <c r="D466" s="6"/>
      <c r="E466" s="6"/>
      <c r="F466" s="6"/>
    </row>
    <row r="467" spans="1:6" ht="15.75" customHeight="1">
      <c r="A467" s="14"/>
      <c r="B467" s="6"/>
      <c r="C467" s="6"/>
      <c r="D467" s="6"/>
      <c r="E467" s="6"/>
      <c r="F467" s="6"/>
    </row>
    <row r="468" spans="1:6" ht="15.75" customHeight="1">
      <c r="A468" s="14"/>
      <c r="B468" s="6"/>
      <c r="C468" s="6"/>
      <c r="D468" s="6"/>
      <c r="E468" s="6"/>
      <c r="F468" s="6"/>
    </row>
    <row r="469" spans="1:6" ht="15.75" customHeight="1">
      <c r="A469" s="14"/>
      <c r="B469" s="6"/>
      <c r="C469" s="6"/>
      <c r="D469" s="6"/>
      <c r="E469" s="6"/>
      <c r="F469" s="6"/>
    </row>
    <row r="470" spans="1:6" ht="15.75" customHeight="1">
      <c r="A470" s="14"/>
      <c r="B470" s="6"/>
      <c r="C470" s="6"/>
      <c r="D470" s="6"/>
      <c r="E470" s="6"/>
      <c r="F470" s="6"/>
    </row>
    <row r="471" spans="1:6" ht="15.75" customHeight="1">
      <c r="A471" s="14"/>
      <c r="B471" s="6"/>
      <c r="C471" s="6"/>
      <c r="D471" s="6"/>
      <c r="E471" s="6"/>
      <c r="F471" s="6"/>
    </row>
    <row r="472" spans="1:6" ht="15.75" customHeight="1">
      <c r="A472" s="14"/>
      <c r="B472" s="6"/>
      <c r="C472" s="6"/>
      <c r="D472" s="6"/>
      <c r="E472" s="6"/>
      <c r="F472" s="6"/>
    </row>
    <row r="473" spans="1:6" ht="15.75" customHeight="1">
      <c r="A473" s="14"/>
      <c r="B473" s="6"/>
      <c r="C473" s="6"/>
      <c r="D473" s="6"/>
      <c r="E473" s="6"/>
      <c r="F473" s="6"/>
    </row>
    <row r="474" spans="1:6" ht="15.75" customHeight="1">
      <c r="A474" s="14"/>
      <c r="B474" s="6"/>
      <c r="C474" s="6"/>
      <c r="D474" s="6"/>
      <c r="E474" s="6"/>
      <c r="F474" s="6"/>
    </row>
    <row r="475" spans="1:6" ht="15.75" customHeight="1">
      <c r="A475" s="14"/>
      <c r="B475" s="6"/>
      <c r="C475" s="6"/>
      <c r="D475" s="6"/>
      <c r="E475" s="6"/>
      <c r="F475" s="6"/>
    </row>
    <row r="476" spans="1:6" ht="15.75" customHeight="1">
      <c r="A476" s="14"/>
      <c r="B476" s="6"/>
      <c r="C476" s="6"/>
      <c r="D476" s="6"/>
      <c r="E476" s="6"/>
      <c r="F476" s="6"/>
    </row>
    <row r="477" spans="1:6" ht="15.75" customHeight="1">
      <c r="A477" s="14"/>
      <c r="B477" s="6"/>
      <c r="C477" s="6"/>
      <c r="D477" s="6"/>
      <c r="E477" s="6"/>
      <c r="F477" s="6"/>
    </row>
    <row r="478" spans="1:6" ht="15.75" customHeight="1">
      <c r="A478" s="14"/>
      <c r="B478" s="6"/>
      <c r="C478" s="6"/>
      <c r="D478" s="6"/>
      <c r="E478" s="6"/>
      <c r="F478" s="6"/>
    </row>
    <row r="479" spans="1:6" ht="15.75" customHeight="1">
      <c r="A479" s="14"/>
      <c r="B479" s="6"/>
      <c r="C479" s="6"/>
      <c r="D479" s="6"/>
      <c r="E479" s="6"/>
      <c r="F479" s="6"/>
    </row>
    <row r="480" spans="1:6" ht="15.75" customHeight="1">
      <c r="A480" s="14"/>
      <c r="B480" s="6"/>
      <c r="C480" s="6"/>
      <c r="D480" s="6"/>
      <c r="E480" s="6"/>
      <c r="F480" s="6"/>
    </row>
    <row r="481" spans="1:6" ht="15.75" customHeight="1">
      <c r="A481" s="14"/>
      <c r="B481" s="6"/>
      <c r="C481" s="6"/>
      <c r="D481" s="6"/>
      <c r="E481" s="6"/>
      <c r="F481" s="6"/>
    </row>
    <row r="482" spans="1:6" ht="15.75" customHeight="1">
      <c r="A482" s="14"/>
      <c r="B482" s="6"/>
      <c r="C482" s="6"/>
      <c r="D482" s="6"/>
      <c r="E482" s="6"/>
      <c r="F482" s="6"/>
    </row>
    <row r="483" spans="1:6" ht="15.75" customHeight="1">
      <c r="A483" s="14"/>
      <c r="B483" s="6"/>
      <c r="C483" s="6"/>
      <c r="D483" s="6"/>
      <c r="E483" s="6"/>
      <c r="F483" s="6"/>
    </row>
    <row r="484" spans="1:6" ht="15.75" customHeight="1">
      <c r="A484" s="14"/>
      <c r="B484" s="6"/>
      <c r="C484" s="6"/>
      <c r="D484" s="6"/>
      <c r="E484" s="6"/>
      <c r="F484" s="6"/>
    </row>
    <row r="485" spans="1:6" ht="15.75" customHeight="1">
      <c r="A485" s="14"/>
      <c r="B485" s="6"/>
      <c r="C485" s="6"/>
      <c r="D485" s="6"/>
      <c r="E485" s="6"/>
      <c r="F485" s="6"/>
    </row>
    <row r="486" spans="1:6" ht="15.75" customHeight="1">
      <c r="A486" s="14"/>
      <c r="B486" s="6"/>
      <c r="C486" s="6"/>
      <c r="D486" s="6"/>
      <c r="E486" s="6"/>
      <c r="F486" s="6"/>
    </row>
    <row r="487" spans="1:6" ht="15.75" customHeight="1">
      <c r="A487" s="14"/>
      <c r="B487" s="6"/>
      <c r="C487" s="6"/>
      <c r="D487" s="6"/>
      <c r="E487" s="6"/>
      <c r="F487" s="6"/>
    </row>
    <row r="488" spans="1:6" ht="15.75" customHeight="1">
      <c r="A488" s="14"/>
      <c r="B488" s="6"/>
      <c r="C488" s="6"/>
      <c r="D488" s="6"/>
      <c r="E488" s="6"/>
      <c r="F488" s="6"/>
    </row>
    <row r="489" spans="1:6" ht="15.75" customHeight="1">
      <c r="A489" s="14"/>
      <c r="B489" s="6"/>
      <c r="C489" s="6"/>
      <c r="D489" s="6"/>
      <c r="E489" s="6"/>
      <c r="F489" s="6"/>
    </row>
    <row r="490" spans="1:6" ht="15.75" customHeight="1">
      <c r="A490" s="14"/>
      <c r="B490" s="6"/>
      <c r="C490" s="6"/>
      <c r="D490" s="6"/>
      <c r="E490" s="6"/>
      <c r="F490" s="6"/>
    </row>
    <row r="491" spans="1:6" ht="15.75" customHeight="1">
      <c r="A491" s="14"/>
      <c r="B491" s="6"/>
      <c r="C491" s="6"/>
      <c r="D491" s="6"/>
      <c r="E491" s="6"/>
      <c r="F491" s="6"/>
    </row>
    <row r="492" spans="1:6" ht="15.75" customHeight="1">
      <c r="A492" s="14"/>
      <c r="B492" s="6"/>
      <c r="C492" s="6"/>
      <c r="D492" s="6"/>
      <c r="E492" s="6"/>
      <c r="F492" s="6"/>
    </row>
    <row r="493" spans="1:6" ht="15.75" customHeight="1">
      <c r="A493" s="14"/>
      <c r="B493" s="6"/>
      <c r="C493" s="6"/>
      <c r="D493" s="6"/>
      <c r="E493" s="6"/>
      <c r="F493" s="6"/>
    </row>
    <row r="494" spans="1:6" ht="15.75" customHeight="1">
      <c r="A494" s="14"/>
      <c r="B494" s="6"/>
      <c r="C494" s="6"/>
      <c r="D494" s="6"/>
      <c r="E494" s="6"/>
      <c r="F494" s="6"/>
    </row>
    <row r="495" spans="1:6" ht="15.75" customHeight="1">
      <c r="A495" s="14"/>
      <c r="B495" s="6"/>
      <c r="C495" s="6"/>
      <c r="D495" s="6"/>
      <c r="E495" s="6"/>
      <c r="F495" s="6"/>
    </row>
    <row r="496" spans="1:6" ht="15.75" customHeight="1">
      <c r="A496" s="14"/>
      <c r="B496" s="6"/>
      <c r="C496" s="6"/>
      <c r="D496" s="6"/>
      <c r="E496" s="6"/>
      <c r="F496" s="6"/>
    </row>
    <row r="497" spans="1:6" ht="15.75" customHeight="1">
      <c r="A497" s="14"/>
      <c r="B497" s="6"/>
      <c r="C497" s="6"/>
      <c r="D497" s="6"/>
      <c r="E497" s="6"/>
      <c r="F497" s="6"/>
    </row>
    <row r="498" spans="1:6" ht="15.75" customHeight="1">
      <c r="A498" s="14"/>
      <c r="B498" s="6"/>
      <c r="C498" s="6"/>
      <c r="D498" s="6"/>
      <c r="E498" s="6"/>
      <c r="F498" s="6"/>
    </row>
    <row r="499" spans="1:6" ht="15.75" customHeight="1">
      <c r="A499" s="14"/>
      <c r="B499" s="6"/>
      <c r="C499" s="6"/>
      <c r="D499" s="6"/>
      <c r="E499" s="6"/>
      <c r="F499" s="6"/>
    </row>
    <row r="500" spans="1:6" ht="15.75" customHeight="1">
      <c r="A500" s="14"/>
      <c r="B500" s="6"/>
      <c r="C500" s="6"/>
      <c r="D500" s="6"/>
      <c r="E500" s="6"/>
      <c r="F500" s="6"/>
    </row>
    <row r="501" spans="1:6" ht="15.75" customHeight="1">
      <c r="A501" s="14"/>
      <c r="B501" s="6"/>
      <c r="C501" s="6"/>
      <c r="D501" s="6"/>
      <c r="E501" s="6"/>
      <c r="F501" s="6"/>
    </row>
    <row r="502" spans="1:6" ht="15.75" customHeight="1">
      <c r="A502" s="14"/>
      <c r="B502" s="6"/>
      <c r="C502" s="6"/>
      <c r="D502" s="6"/>
      <c r="E502" s="6"/>
      <c r="F502" s="6"/>
    </row>
    <row r="503" spans="1:6" ht="15.75" customHeight="1">
      <c r="A503" s="14"/>
      <c r="B503" s="6"/>
      <c r="C503" s="6"/>
      <c r="D503" s="6"/>
      <c r="E503" s="6"/>
      <c r="F503" s="6"/>
    </row>
    <row r="504" spans="1:6" ht="15.75" customHeight="1">
      <c r="A504" s="14"/>
      <c r="B504" s="6"/>
      <c r="C504" s="6"/>
      <c r="D504" s="6"/>
      <c r="E504" s="6"/>
      <c r="F504" s="6"/>
    </row>
    <row r="505" spans="1:6" ht="15.75" customHeight="1">
      <c r="A505" s="14"/>
      <c r="B505" s="6"/>
      <c r="C505" s="6"/>
      <c r="D505" s="6"/>
      <c r="E505" s="6"/>
      <c r="F505" s="6"/>
    </row>
    <row r="506" spans="1:6" ht="15.75" customHeight="1">
      <c r="A506" s="14"/>
      <c r="B506" s="6"/>
      <c r="C506" s="6"/>
      <c r="D506" s="6"/>
      <c r="E506" s="6"/>
      <c r="F506" s="6"/>
    </row>
    <row r="507" spans="1:6" ht="15.75" customHeight="1">
      <c r="A507" s="14"/>
      <c r="B507" s="6"/>
      <c r="C507" s="6"/>
      <c r="D507" s="6"/>
      <c r="E507" s="6"/>
      <c r="F507" s="6"/>
    </row>
    <row r="508" spans="1:6" ht="15.75" customHeight="1">
      <c r="A508" s="14"/>
      <c r="B508" s="6"/>
      <c r="C508" s="6"/>
      <c r="D508" s="6"/>
      <c r="E508" s="6"/>
      <c r="F508" s="6"/>
    </row>
    <row r="509" spans="1:6" ht="15.75" customHeight="1">
      <c r="A509" s="14"/>
      <c r="B509" s="6"/>
      <c r="C509" s="6"/>
      <c r="D509" s="6"/>
      <c r="E509" s="6"/>
      <c r="F509" s="6"/>
    </row>
    <row r="510" spans="1:6" ht="15.75" customHeight="1">
      <c r="A510" s="14"/>
      <c r="B510" s="6"/>
      <c r="C510" s="6"/>
      <c r="D510" s="6"/>
      <c r="E510" s="6"/>
      <c r="F510" s="6"/>
    </row>
    <row r="511" spans="1:6" ht="15.75" customHeight="1">
      <c r="A511" s="14"/>
      <c r="B511" s="6"/>
      <c r="C511" s="6"/>
      <c r="D511" s="6"/>
      <c r="E511" s="6"/>
      <c r="F511" s="6"/>
    </row>
    <row r="512" spans="1:6" ht="15.75" customHeight="1">
      <c r="A512" s="14"/>
      <c r="B512" s="6"/>
      <c r="C512" s="6"/>
      <c r="D512" s="6"/>
      <c r="E512" s="6"/>
      <c r="F512" s="6"/>
    </row>
    <row r="513" spans="1:6" ht="15.75" customHeight="1">
      <c r="A513" s="14"/>
      <c r="B513" s="6"/>
      <c r="C513" s="6"/>
      <c r="D513" s="6"/>
      <c r="E513" s="6"/>
      <c r="F513" s="6"/>
    </row>
    <row r="514" spans="1:6" ht="15.75" customHeight="1">
      <c r="A514" s="14"/>
      <c r="B514" s="6"/>
      <c r="C514" s="6"/>
      <c r="D514" s="6"/>
      <c r="E514" s="6"/>
      <c r="F514" s="6"/>
    </row>
    <row r="515" spans="1:6" ht="15.75" customHeight="1">
      <c r="A515" s="14"/>
      <c r="B515" s="6"/>
      <c r="C515" s="6"/>
      <c r="D515" s="6"/>
      <c r="E515" s="6"/>
      <c r="F515" s="6"/>
    </row>
    <row r="516" spans="1:6" ht="15.75" customHeight="1">
      <c r="A516" s="14"/>
      <c r="B516" s="6"/>
      <c r="C516" s="6"/>
      <c r="D516" s="6"/>
      <c r="E516" s="6"/>
      <c r="F516" s="6"/>
    </row>
    <row r="517" spans="1:6" ht="15.75" customHeight="1">
      <c r="A517" s="14"/>
      <c r="B517" s="6"/>
      <c r="C517" s="6"/>
      <c r="D517" s="6"/>
      <c r="E517" s="6"/>
      <c r="F517" s="6"/>
    </row>
    <row r="518" spans="1:6" ht="15.75" customHeight="1">
      <c r="A518" s="14"/>
      <c r="B518" s="6"/>
      <c r="C518" s="6"/>
      <c r="D518" s="6"/>
      <c r="E518" s="6"/>
      <c r="F518" s="6"/>
    </row>
    <row r="519" spans="1:6" ht="15.75" customHeight="1">
      <c r="A519" s="14"/>
      <c r="B519" s="6"/>
      <c r="C519" s="6"/>
      <c r="D519" s="6"/>
      <c r="E519" s="6"/>
      <c r="F519" s="6"/>
    </row>
    <row r="520" spans="1:6" ht="15.75" customHeight="1">
      <c r="A520" s="14"/>
      <c r="B520" s="6"/>
      <c r="C520" s="6"/>
      <c r="D520" s="6"/>
      <c r="E520" s="6"/>
      <c r="F520" s="6"/>
    </row>
    <row r="521" spans="1:6" ht="15.75" customHeight="1">
      <c r="A521" s="14"/>
      <c r="B521" s="6"/>
      <c r="C521" s="6"/>
      <c r="D521" s="6"/>
      <c r="E521" s="6"/>
      <c r="F521" s="6"/>
    </row>
    <row r="522" spans="1:6" ht="15.75" customHeight="1">
      <c r="A522" s="14"/>
      <c r="B522" s="6"/>
      <c r="C522" s="6"/>
      <c r="D522" s="6"/>
      <c r="E522" s="6"/>
      <c r="F522" s="6"/>
    </row>
    <row r="523" spans="1:6" ht="15.75" customHeight="1">
      <c r="A523" s="14"/>
      <c r="B523" s="6"/>
      <c r="C523" s="6"/>
      <c r="D523" s="6"/>
      <c r="E523" s="6"/>
      <c r="F523" s="6"/>
    </row>
    <row r="524" spans="1:6" ht="15.75" customHeight="1">
      <c r="A524" s="14"/>
      <c r="B524" s="6"/>
      <c r="C524" s="6"/>
      <c r="D524" s="6"/>
      <c r="E524" s="6"/>
      <c r="F524" s="6"/>
    </row>
    <row r="525" spans="1:6" ht="15.75" customHeight="1">
      <c r="A525" s="14"/>
      <c r="B525" s="6"/>
      <c r="C525" s="6"/>
      <c r="D525" s="6"/>
      <c r="E525" s="6"/>
      <c r="F525" s="6"/>
    </row>
    <row r="526" spans="1:6" ht="15.75" customHeight="1">
      <c r="A526" s="14"/>
      <c r="B526" s="6"/>
      <c r="C526" s="6"/>
      <c r="D526" s="6"/>
      <c r="E526" s="6"/>
      <c r="F526" s="6"/>
    </row>
    <row r="527" spans="1:6" ht="15.75" customHeight="1">
      <c r="A527" s="14"/>
      <c r="B527" s="6"/>
      <c r="C527" s="6"/>
      <c r="D527" s="6"/>
      <c r="E527" s="6"/>
      <c r="F527" s="6"/>
    </row>
    <row r="528" spans="1:6" ht="15.75" customHeight="1">
      <c r="A528" s="14"/>
      <c r="B528" s="6"/>
      <c r="C528" s="6"/>
      <c r="D528" s="6"/>
      <c r="E528" s="6"/>
      <c r="F528" s="6"/>
    </row>
    <row r="529" spans="1:6" ht="15.75" customHeight="1">
      <c r="A529" s="14"/>
      <c r="B529" s="6"/>
      <c r="C529" s="6"/>
      <c r="D529" s="6"/>
      <c r="E529" s="6"/>
      <c r="F529" s="6"/>
    </row>
    <row r="530" spans="1:6" ht="15.75" customHeight="1">
      <c r="A530" s="14"/>
      <c r="B530" s="6"/>
      <c r="C530" s="6"/>
      <c r="D530" s="6"/>
      <c r="E530" s="6"/>
      <c r="F530" s="6"/>
    </row>
    <row r="531" spans="1:6" ht="15.75" customHeight="1">
      <c r="A531" s="14"/>
      <c r="B531" s="6"/>
      <c r="C531" s="6"/>
      <c r="D531" s="6"/>
      <c r="E531" s="6"/>
      <c r="F531" s="6"/>
    </row>
    <row r="532" spans="1:6" ht="15.75" customHeight="1">
      <c r="A532" s="14"/>
      <c r="B532" s="6"/>
      <c r="C532" s="6"/>
      <c r="D532" s="6"/>
      <c r="E532" s="6"/>
      <c r="F532" s="6"/>
    </row>
    <row r="533" spans="1:6" ht="15.75" customHeight="1">
      <c r="A533" s="14"/>
      <c r="B533" s="6"/>
      <c r="C533" s="6"/>
      <c r="D533" s="6"/>
      <c r="E533" s="6"/>
      <c r="F533" s="6"/>
    </row>
    <row r="534" spans="1:6" ht="15.75" customHeight="1">
      <c r="A534" s="14"/>
      <c r="B534" s="6"/>
      <c r="C534" s="6"/>
      <c r="D534" s="6"/>
      <c r="E534" s="6"/>
      <c r="F534" s="6"/>
    </row>
    <row r="535" spans="1:6" ht="15.75" customHeight="1">
      <c r="A535" s="14"/>
      <c r="B535" s="6"/>
      <c r="C535" s="6"/>
      <c r="D535" s="6"/>
      <c r="E535" s="6"/>
      <c r="F535" s="6"/>
    </row>
    <row r="536" spans="1:6" ht="15.75" customHeight="1">
      <c r="A536" s="14"/>
      <c r="B536" s="6"/>
      <c r="C536" s="6"/>
      <c r="D536" s="6"/>
      <c r="E536" s="6"/>
      <c r="F536" s="6"/>
    </row>
    <row r="537" spans="1:6" ht="15.75" customHeight="1">
      <c r="A537" s="14"/>
      <c r="B537" s="6"/>
      <c r="C537" s="6"/>
      <c r="D537" s="6"/>
      <c r="E537" s="6"/>
      <c r="F537" s="6"/>
    </row>
    <row r="538" spans="1:6" ht="15.75" customHeight="1">
      <c r="A538" s="14"/>
      <c r="B538" s="6"/>
      <c r="C538" s="6"/>
      <c r="D538" s="6"/>
      <c r="E538" s="6"/>
      <c r="F538" s="6"/>
    </row>
    <row r="539" spans="1:6" ht="15.75" customHeight="1">
      <c r="A539" s="14"/>
      <c r="B539" s="6"/>
      <c r="C539" s="6"/>
      <c r="D539" s="6"/>
      <c r="E539" s="6"/>
      <c r="F539" s="6"/>
    </row>
    <row r="540" spans="1:6" ht="15.75" customHeight="1">
      <c r="A540" s="14"/>
      <c r="B540" s="6"/>
      <c r="C540" s="6"/>
      <c r="D540" s="6"/>
      <c r="E540" s="6"/>
      <c r="F540" s="6"/>
    </row>
    <row r="541" spans="1:6" ht="15.75" customHeight="1">
      <c r="A541" s="14"/>
      <c r="B541" s="6"/>
      <c r="C541" s="6"/>
      <c r="D541" s="6"/>
      <c r="E541" s="6"/>
      <c r="F541" s="6"/>
    </row>
    <row r="542" spans="1:6" ht="15.75" customHeight="1">
      <c r="A542" s="14"/>
      <c r="B542" s="6"/>
      <c r="C542" s="6"/>
      <c r="D542" s="6"/>
      <c r="E542" s="6"/>
      <c r="F542" s="6"/>
    </row>
    <row r="543" spans="1:6" ht="15.75" customHeight="1">
      <c r="A543" s="14"/>
      <c r="B543" s="6"/>
      <c r="C543" s="6"/>
      <c r="D543" s="6"/>
      <c r="E543" s="6"/>
      <c r="F543" s="6"/>
    </row>
    <row r="544" spans="1:6" ht="15.75" customHeight="1">
      <c r="A544" s="14"/>
      <c r="B544" s="6"/>
      <c r="C544" s="6"/>
      <c r="D544" s="6"/>
      <c r="E544" s="6"/>
      <c r="F544" s="6"/>
    </row>
    <row r="545" spans="1:6" ht="15.75" customHeight="1">
      <c r="A545" s="14"/>
      <c r="B545" s="6"/>
      <c r="C545" s="6"/>
      <c r="D545" s="6"/>
      <c r="E545" s="6"/>
      <c r="F545" s="6"/>
    </row>
    <row r="546" spans="1:6" ht="15.75" customHeight="1">
      <c r="A546" s="14"/>
      <c r="B546" s="6"/>
      <c r="C546" s="6"/>
      <c r="D546" s="6"/>
      <c r="E546" s="6"/>
      <c r="F546" s="6"/>
    </row>
    <row r="547" spans="1:6" ht="15.75" customHeight="1">
      <c r="A547" s="14"/>
      <c r="B547" s="6"/>
      <c r="C547" s="6"/>
      <c r="D547" s="6"/>
      <c r="E547" s="6"/>
      <c r="F547" s="6"/>
    </row>
    <row r="548" spans="1:6" ht="15.75" customHeight="1">
      <c r="A548" s="14"/>
      <c r="B548" s="6"/>
      <c r="C548" s="6"/>
      <c r="D548" s="6"/>
      <c r="E548" s="6"/>
      <c r="F548" s="6"/>
    </row>
    <row r="549" spans="1:6" ht="15.75" customHeight="1">
      <c r="A549" s="14"/>
      <c r="B549" s="6"/>
      <c r="C549" s="6"/>
      <c r="D549" s="6"/>
      <c r="E549" s="6"/>
      <c r="F549" s="6"/>
    </row>
    <row r="550" spans="1:6" ht="15.75" customHeight="1">
      <c r="A550" s="14"/>
      <c r="B550" s="6"/>
      <c r="C550" s="6"/>
      <c r="D550" s="6"/>
      <c r="E550" s="6"/>
      <c r="F550" s="6"/>
    </row>
    <row r="551" spans="1:6" ht="15.75" customHeight="1">
      <c r="A551" s="14"/>
      <c r="B551" s="6"/>
      <c r="C551" s="6"/>
      <c r="D551" s="6"/>
      <c r="E551" s="6"/>
      <c r="F551" s="6"/>
    </row>
    <row r="552" spans="1:6" ht="15.75" customHeight="1">
      <c r="A552" s="14"/>
      <c r="B552" s="6"/>
      <c r="C552" s="6"/>
      <c r="D552" s="6"/>
      <c r="E552" s="6"/>
      <c r="F552" s="6"/>
    </row>
    <row r="553" spans="1:6" ht="15.75" customHeight="1">
      <c r="A553" s="14"/>
      <c r="B553" s="6"/>
      <c r="C553" s="6"/>
      <c r="D553" s="6"/>
      <c r="E553" s="6"/>
      <c r="F553" s="6"/>
    </row>
    <row r="554" spans="1:6" ht="15.75" customHeight="1">
      <c r="A554" s="14"/>
      <c r="B554" s="6"/>
      <c r="C554" s="6"/>
      <c r="D554" s="6"/>
      <c r="E554" s="6"/>
      <c r="F554" s="6"/>
    </row>
    <row r="555" spans="1:6" ht="15.75" customHeight="1">
      <c r="A555" s="14"/>
      <c r="B555" s="6"/>
      <c r="C555" s="6"/>
      <c r="D555" s="6"/>
      <c r="E555" s="6"/>
      <c r="F555" s="6"/>
    </row>
    <row r="556" spans="1:6" ht="15.75" customHeight="1">
      <c r="A556" s="14"/>
      <c r="B556" s="6"/>
      <c r="C556" s="6"/>
      <c r="D556" s="6"/>
      <c r="E556" s="6"/>
      <c r="F556" s="6"/>
    </row>
    <row r="557" spans="1:6" ht="15.75" customHeight="1">
      <c r="A557" s="14"/>
      <c r="B557" s="6"/>
      <c r="C557" s="6"/>
      <c r="D557" s="6"/>
      <c r="E557" s="6"/>
      <c r="F557" s="6"/>
    </row>
    <row r="558" spans="1:6" ht="15.75" customHeight="1">
      <c r="A558" s="14"/>
      <c r="B558" s="6"/>
      <c r="C558" s="6"/>
      <c r="D558" s="6"/>
      <c r="E558" s="6"/>
      <c r="F558" s="6"/>
    </row>
    <row r="559" spans="1:6" ht="15.75" customHeight="1">
      <c r="A559" s="14"/>
      <c r="B559" s="6"/>
      <c r="C559" s="6"/>
      <c r="D559" s="6"/>
      <c r="E559" s="6"/>
      <c r="F559" s="6"/>
    </row>
    <row r="560" spans="1:6" ht="15.75" customHeight="1">
      <c r="A560" s="14"/>
      <c r="B560" s="6"/>
      <c r="C560" s="6"/>
      <c r="D560" s="6"/>
      <c r="E560" s="6"/>
      <c r="F560" s="6"/>
    </row>
    <row r="561" spans="1:6" ht="15.75" customHeight="1">
      <c r="A561" s="14"/>
      <c r="B561" s="6"/>
      <c r="C561" s="6"/>
      <c r="D561" s="6"/>
      <c r="E561" s="6"/>
      <c r="F561" s="6"/>
    </row>
    <row r="562" spans="1:6" ht="15.75" customHeight="1">
      <c r="A562" s="14"/>
      <c r="B562" s="6"/>
      <c r="C562" s="6"/>
      <c r="D562" s="6"/>
      <c r="E562" s="6"/>
      <c r="F562" s="6"/>
    </row>
    <row r="563" spans="1:6" ht="15.75" customHeight="1">
      <c r="A563" s="14"/>
      <c r="B563" s="6"/>
      <c r="C563" s="6"/>
      <c r="D563" s="6"/>
      <c r="E563" s="6"/>
      <c r="F563" s="6"/>
    </row>
    <row r="564" spans="1:6" ht="15.75" customHeight="1">
      <c r="A564" s="14"/>
      <c r="B564" s="6"/>
      <c r="C564" s="6"/>
      <c r="D564" s="6"/>
      <c r="E564" s="6"/>
      <c r="F564" s="6"/>
    </row>
    <row r="565" spans="1:6" ht="15.75" customHeight="1">
      <c r="A565" s="14"/>
      <c r="B565" s="6"/>
      <c r="C565" s="6"/>
      <c r="D565" s="6"/>
      <c r="E565" s="6"/>
      <c r="F565" s="6"/>
    </row>
    <row r="566" spans="1:6" ht="15.75" customHeight="1">
      <c r="A566" s="14"/>
      <c r="B566" s="6"/>
      <c r="C566" s="6"/>
      <c r="D566" s="6"/>
      <c r="E566" s="6"/>
      <c r="F566" s="6"/>
    </row>
    <row r="567" spans="1:6" ht="15.75" customHeight="1">
      <c r="A567" s="14"/>
      <c r="B567" s="6"/>
      <c r="C567" s="6"/>
      <c r="D567" s="6"/>
      <c r="E567" s="6"/>
      <c r="F567" s="6"/>
    </row>
    <row r="568" spans="1:6" ht="15.75" customHeight="1">
      <c r="A568" s="14"/>
      <c r="B568" s="6"/>
      <c r="C568" s="6"/>
      <c r="D568" s="6"/>
      <c r="E568" s="6"/>
      <c r="F568" s="6"/>
    </row>
    <row r="569" spans="1:6" ht="15.75" customHeight="1">
      <c r="A569" s="14"/>
      <c r="B569" s="6"/>
      <c r="C569" s="6"/>
      <c r="D569" s="6"/>
      <c r="E569" s="6"/>
      <c r="F569" s="6"/>
    </row>
    <row r="570" spans="1:6" ht="15.75" customHeight="1">
      <c r="A570" s="14"/>
      <c r="B570" s="6"/>
      <c r="C570" s="6"/>
      <c r="D570" s="6"/>
      <c r="E570" s="6"/>
      <c r="F570" s="6"/>
    </row>
    <row r="571" spans="1:6" ht="15.75" customHeight="1">
      <c r="A571" s="14"/>
      <c r="B571" s="6"/>
      <c r="C571" s="6"/>
      <c r="D571" s="6"/>
      <c r="E571" s="6"/>
      <c r="F571" s="6"/>
    </row>
    <row r="572" spans="1:6" ht="15.75" customHeight="1">
      <c r="A572" s="14"/>
      <c r="B572" s="6"/>
      <c r="C572" s="6"/>
      <c r="D572" s="6"/>
      <c r="E572" s="6"/>
      <c r="F572" s="6"/>
    </row>
    <row r="573" spans="1:6" ht="15.75" customHeight="1">
      <c r="A573" s="14"/>
      <c r="B573" s="6"/>
      <c r="C573" s="6"/>
      <c r="D573" s="6"/>
      <c r="E573" s="6"/>
      <c r="F573" s="6"/>
    </row>
    <row r="574" spans="1:6" ht="15.75" customHeight="1">
      <c r="A574" s="14"/>
      <c r="B574" s="6"/>
      <c r="C574" s="6"/>
      <c r="D574" s="6"/>
      <c r="E574" s="6"/>
      <c r="F574" s="6"/>
    </row>
    <row r="575" spans="1:6" ht="15.75" customHeight="1">
      <c r="A575" s="14"/>
      <c r="B575" s="6"/>
      <c r="C575" s="6"/>
      <c r="D575" s="6"/>
      <c r="E575" s="6"/>
      <c r="F575" s="6"/>
    </row>
    <row r="576" spans="1:6" ht="15.75" customHeight="1">
      <c r="A576" s="14"/>
      <c r="B576" s="6"/>
      <c r="C576" s="6"/>
      <c r="D576" s="6"/>
      <c r="E576" s="6"/>
      <c r="F576" s="6"/>
    </row>
    <row r="577" spans="1:6" ht="15.75" customHeight="1">
      <c r="A577" s="14"/>
      <c r="B577" s="6"/>
      <c r="C577" s="6"/>
      <c r="D577" s="6"/>
      <c r="E577" s="6"/>
      <c r="F577" s="6"/>
    </row>
    <row r="578" spans="1:6" ht="15.75" customHeight="1">
      <c r="A578" s="14"/>
      <c r="B578" s="6"/>
      <c r="C578" s="6"/>
      <c r="D578" s="6"/>
      <c r="E578" s="6"/>
      <c r="F578" s="6"/>
    </row>
    <row r="579" spans="1:6" ht="15.75" customHeight="1">
      <c r="A579" s="14"/>
      <c r="B579" s="6"/>
      <c r="C579" s="6"/>
      <c r="D579" s="6"/>
      <c r="E579" s="6"/>
      <c r="F579" s="6"/>
    </row>
    <row r="580" spans="1:6" ht="15.75" customHeight="1">
      <c r="A580" s="14"/>
      <c r="B580" s="6"/>
      <c r="C580" s="6"/>
      <c r="D580" s="6"/>
      <c r="E580" s="6"/>
      <c r="F580" s="6"/>
    </row>
    <row r="581" spans="1:6" ht="15.75" customHeight="1">
      <c r="A581" s="14"/>
      <c r="B581" s="6"/>
      <c r="C581" s="6"/>
      <c r="D581" s="6"/>
      <c r="E581" s="6"/>
      <c r="F581" s="6"/>
    </row>
    <row r="582" spans="1:6" ht="15.75" customHeight="1">
      <c r="A582" s="14"/>
      <c r="B582" s="6"/>
      <c r="C582" s="6"/>
      <c r="D582" s="6"/>
      <c r="E582" s="6"/>
      <c r="F582" s="6"/>
    </row>
    <row r="583" spans="1:6" ht="15.75" customHeight="1">
      <c r="A583" s="14"/>
      <c r="B583" s="6"/>
      <c r="C583" s="6"/>
      <c r="D583" s="6"/>
      <c r="E583" s="6"/>
      <c r="F583" s="6"/>
    </row>
    <row r="584" spans="1:6" ht="15.75" customHeight="1">
      <c r="A584" s="14"/>
      <c r="B584" s="6"/>
      <c r="C584" s="6"/>
      <c r="D584" s="6"/>
      <c r="E584" s="6"/>
      <c r="F584" s="6"/>
    </row>
    <row r="585" spans="1:6" ht="15.75" customHeight="1">
      <c r="A585" s="14"/>
      <c r="B585" s="6"/>
      <c r="C585" s="6"/>
      <c r="D585" s="6"/>
      <c r="E585" s="6"/>
      <c r="F585" s="6"/>
    </row>
    <row r="586" spans="1:6" ht="15.75" customHeight="1">
      <c r="A586" s="14"/>
      <c r="B586" s="6"/>
      <c r="C586" s="6"/>
      <c r="D586" s="6"/>
      <c r="E586" s="6"/>
      <c r="F586" s="6"/>
    </row>
    <row r="587" spans="1:6" ht="15.75" customHeight="1">
      <c r="A587" s="14"/>
      <c r="B587" s="6"/>
      <c r="C587" s="6"/>
      <c r="D587" s="6"/>
      <c r="E587" s="6"/>
      <c r="F587" s="6"/>
    </row>
    <row r="588" spans="1:6" ht="15.75" customHeight="1">
      <c r="A588" s="14"/>
      <c r="B588" s="6"/>
      <c r="C588" s="6"/>
      <c r="D588" s="6"/>
      <c r="E588" s="6"/>
      <c r="F588" s="6"/>
    </row>
    <row r="589" spans="1:6" ht="15.75" customHeight="1">
      <c r="A589" s="14"/>
      <c r="B589" s="6"/>
      <c r="C589" s="6"/>
      <c r="D589" s="6"/>
      <c r="E589" s="6"/>
      <c r="F589" s="6"/>
    </row>
    <row r="590" spans="1:6" ht="15.75" customHeight="1">
      <c r="A590" s="14"/>
      <c r="B590" s="6"/>
      <c r="C590" s="6"/>
      <c r="D590" s="6"/>
      <c r="E590" s="6"/>
      <c r="F590" s="6"/>
    </row>
    <row r="591" spans="1:6" ht="15.75" customHeight="1">
      <c r="A591" s="14"/>
      <c r="B591" s="6"/>
      <c r="C591" s="6"/>
      <c r="D591" s="6"/>
      <c r="E591" s="6"/>
      <c r="F591" s="6"/>
    </row>
    <row r="592" spans="1:6" ht="15.75" customHeight="1">
      <c r="A592" s="14"/>
      <c r="B592" s="6"/>
      <c r="C592" s="6"/>
      <c r="D592" s="6"/>
      <c r="E592" s="6"/>
      <c r="F592" s="6"/>
    </row>
    <row r="593" spans="1:6" ht="15.75" customHeight="1">
      <c r="A593" s="14"/>
      <c r="B593" s="6"/>
      <c r="C593" s="6"/>
      <c r="D593" s="6"/>
      <c r="E593" s="6"/>
      <c r="F593" s="6"/>
    </row>
    <row r="594" spans="1:6" ht="15.75" customHeight="1">
      <c r="A594" s="14"/>
      <c r="B594" s="6"/>
      <c r="C594" s="6"/>
      <c r="D594" s="6"/>
      <c r="E594" s="6"/>
      <c r="F594" s="6"/>
    </row>
    <row r="595" spans="1:6" ht="15.75" customHeight="1">
      <c r="A595" s="14"/>
      <c r="B595" s="6"/>
      <c r="C595" s="6"/>
      <c r="D595" s="6"/>
      <c r="E595" s="6"/>
      <c r="F595" s="6"/>
    </row>
    <row r="596" spans="1:6" ht="15.75" customHeight="1">
      <c r="A596" s="14"/>
      <c r="B596" s="6"/>
      <c r="C596" s="6"/>
      <c r="D596" s="6"/>
      <c r="E596" s="6"/>
      <c r="F596" s="6"/>
    </row>
    <row r="597" spans="1:6" ht="15.75" customHeight="1">
      <c r="A597" s="14"/>
      <c r="B597" s="6"/>
      <c r="C597" s="6"/>
      <c r="D597" s="6"/>
      <c r="E597" s="6"/>
      <c r="F597" s="6"/>
    </row>
    <row r="598" spans="1:6" ht="15.75" customHeight="1">
      <c r="A598" s="14"/>
      <c r="B598" s="6"/>
      <c r="C598" s="6"/>
      <c r="D598" s="6"/>
      <c r="E598" s="6"/>
      <c r="F598" s="6"/>
    </row>
    <row r="599" spans="1:6" ht="15.75" customHeight="1">
      <c r="A599" s="14"/>
      <c r="B599" s="6"/>
      <c r="C599" s="6"/>
      <c r="D599" s="6"/>
      <c r="E599" s="6"/>
      <c r="F599" s="6"/>
    </row>
    <row r="600" spans="1:6" ht="15.75" customHeight="1">
      <c r="A600" s="14"/>
      <c r="B600" s="6"/>
      <c r="C600" s="6"/>
      <c r="D600" s="6"/>
      <c r="E600" s="6"/>
      <c r="F600" s="6"/>
    </row>
    <row r="601" spans="1:6" ht="15.75" customHeight="1">
      <c r="A601" s="14"/>
      <c r="B601" s="6"/>
      <c r="C601" s="6"/>
      <c r="D601" s="6"/>
      <c r="E601" s="6"/>
      <c r="F601" s="6"/>
    </row>
    <row r="602" spans="1:6" ht="15.75" customHeight="1">
      <c r="A602" s="14"/>
      <c r="B602" s="6"/>
      <c r="C602" s="6"/>
      <c r="D602" s="6"/>
      <c r="E602" s="6"/>
      <c r="F602" s="6"/>
    </row>
    <row r="603" spans="1:6" ht="15.75" customHeight="1">
      <c r="A603" s="14"/>
      <c r="B603" s="6"/>
      <c r="C603" s="6"/>
      <c r="D603" s="6"/>
      <c r="E603" s="6"/>
      <c r="F603" s="6"/>
    </row>
    <row r="604" spans="1:6" ht="15.75" customHeight="1">
      <c r="A604" s="14"/>
      <c r="B604" s="6"/>
      <c r="C604" s="6"/>
      <c r="D604" s="6"/>
      <c r="E604" s="6"/>
      <c r="F604" s="6"/>
    </row>
    <row r="605" spans="1:6" ht="15.75" customHeight="1">
      <c r="A605" s="14"/>
      <c r="B605" s="6"/>
      <c r="C605" s="6"/>
      <c r="D605" s="6"/>
      <c r="E605" s="6"/>
      <c r="F605" s="6"/>
    </row>
    <row r="606" spans="1:6" ht="15.75" customHeight="1">
      <c r="A606" s="14"/>
      <c r="B606" s="6"/>
      <c r="C606" s="6"/>
      <c r="D606" s="6"/>
      <c r="E606" s="6"/>
      <c r="F606" s="6"/>
    </row>
    <row r="607" spans="1:6" ht="15.75" customHeight="1">
      <c r="A607" s="14"/>
      <c r="B607" s="6"/>
      <c r="C607" s="6"/>
      <c r="D607" s="6"/>
      <c r="E607" s="6"/>
      <c r="F607" s="6"/>
    </row>
    <row r="608" spans="1:6" ht="15.75" customHeight="1">
      <c r="A608" s="14"/>
      <c r="B608" s="6"/>
      <c r="C608" s="6"/>
      <c r="D608" s="6"/>
      <c r="E608" s="6"/>
      <c r="F608" s="6"/>
    </row>
    <row r="609" spans="1:6" ht="15.75" customHeight="1">
      <c r="A609" s="14"/>
      <c r="B609" s="6"/>
      <c r="C609" s="6"/>
      <c r="D609" s="6"/>
      <c r="E609" s="6"/>
      <c r="F609" s="6"/>
    </row>
    <row r="610" spans="1:6" ht="15.75" customHeight="1">
      <c r="A610" s="14"/>
      <c r="B610" s="6"/>
      <c r="C610" s="6"/>
      <c r="D610" s="6"/>
      <c r="E610" s="6"/>
      <c r="F610" s="6"/>
    </row>
    <row r="611" spans="1:6" ht="15.75" customHeight="1">
      <c r="A611" s="14"/>
      <c r="B611" s="6"/>
      <c r="C611" s="6"/>
      <c r="D611" s="6"/>
      <c r="E611" s="6"/>
      <c r="F611" s="6"/>
    </row>
    <row r="612" spans="1:6" ht="15.75" customHeight="1">
      <c r="A612" s="14"/>
      <c r="B612" s="6"/>
      <c r="C612" s="6"/>
      <c r="D612" s="6"/>
      <c r="E612" s="6"/>
      <c r="F612" s="6"/>
    </row>
    <row r="613" spans="1:6" ht="15.75" customHeight="1">
      <c r="A613" s="14"/>
      <c r="B613" s="6"/>
      <c r="C613" s="6"/>
      <c r="D613" s="6"/>
      <c r="E613" s="6"/>
      <c r="F613" s="6"/>
    </row>
    <row r="614" spans="1:6" ht="15.75" customHeight="1">
      <c r="A614" s="14"/>
      <c r="B614" s="6"/>
      <c r="C614" s="6"/>
      <c r="D614" s="6"/>
      <c r="E614" s="6"/>
      <c r="F614" s="6"/>
    </row>
    <row r="615" spans="1:6" ht="15.75" customHeight="1">
      <c r="A615" s="14"/>
      <c r="B615" s="6"/>
      <c r="C615" s="6"/>
      <c r="D615" s="6"/>
      <c r="E615" s="6"/>
      <c r="F615" s="6"/>
    </row>
    <row r="616" spans="1:6" ht="15.75" customHeight="1">
      <c r="A616" s="14"/>
      <c r="B616" s="6"/>
      <c r="C616" s="6"/>
      <c r="D616" s="6"/>
      <c r="E616" s="6"/>
      <c r="F616" s="6"/>
    </row>
    <row r="617" spans="1:6" ht="15.75" customHeight="1">
      <c r="A617" s="14"/>
      <c r="B617" s="6"/>
      <c r="C617" s="6"/>
      <c r="D617" s="6"/>
      <c r="E617" s="6"/>
      <c r="F617" s="6"/>
    </row>
    <row r="618" spans="1:6" ht="15.75" customHeight="1">
      <c r="A618" s="14"/>
      <c r="B618" s="6"/>
      <c r="C618" s="6"/>
      <c r="D618" s="6"/>
      <c r="E618" s="6"/>
      <c r="F618" s="6"/>
    </row>
    <row r="619" spans="1:6" ht="15.75" customHeight="1">
      <c r="A619" s="14"/>
      <c r="B619" s="6"/>
      <c r="C619" s="6"/>
      <c r="D619" s="6"/>
      <c r="E619" s="6"/>
      <c r="F619" s="6"/>
    </row>
    <row r="620" spans="1:6" ht="15.75" customHeight="1">
      <c r="A620" s="14"/>
      <c r="B620" s="6"/>
      <c r="C620" s="6"/>
      <c r="D620" s="6"/>
      <c r="E620" s="6"/>
      <c r="F620" s="6"/>
    </row>
    <row r="621" spans="1:6" ht="15.75" customHeight="1">
      <c r="A621" s="14"/>
      <c r="B621" s="6"/>
      <c r="C621" s="6"/>
      <c r="D621" s="6"/>
      <c r="E621" s="6"/>
      <c r="F621" s="6"/>
    </row>
    <row r="622" spans="1:6" ht="15.75" customHeight="1">
      <c r="A622" s="14"/>
      <c r="B622" s="6"/>
      <c r="C622" s="6"/>
      <c r="D622" s="6"/>
      <c r="E622" s="6"/>
      <c r="F622" s="6"/>
    </row>
    <row r="623" spans="1:6" ht="15.75" customHeight="1">
      <c r="A623" s="14"/>
      <c r="B623" s="6"/>
      <c r="C623" s="6"/>
      <c r="D623" s="6"/>
      <c r="E623" s="6"/>
      <c r="F623" s="6"/>
    </row>
    <row r="624" spans="1:6" ht="15.75" customHeight="1">
      <c r="A624" s="14"/>
      <c r="B624" s="6"/>
      <c r="C624" s="6"/>
      <c r="D624" s="6"/>
      <c r="E624" s="6"/>
      <c r="F624" s="6"/>
    </row>
    <row r="625" spans="1:6" ht="15.75" customHeight="1">
      <c r="A625" s="14"/>
      <c r="B625" s="6"/>
      <c r="C625" s="6"/>
      <c r="D625" s="6"/>
      <c r="E625" s="6"/>
      <c r="F625" s="6"/>
    </row>
    <row r="626" spans="1:6" ht="15.75" customHeight="1">
      <c r="A626" s="14"/>
      <c r="B626" s="6"/>
      <c r="C626" s="6"/>
      <c r="D626" s="6"/>
      <c r="E626" s="6"/>
      <c r="F626" s="6"/>
    </row>
    <row r="627" spans="1:6" ht="15.75" customHeight="1">
      <c r="A627" s="14"/>
      <c r="B627" s="6"/>
      <c r="C627" s="6"/>
      <c r="D627" s="6"/>
      <c r="E627" s="6"/>
      <c r="F627" s="6"/>
    </row>
    <row r="628" spans="1:6" ht="15.75" customHeight="1">
      <c r="A628" s="14"/>
      <c r="B628" s="6"/>
      <c r="C628" s="6"/>
      <c r="D628" s="6"/>
      <c r="E628" s="6"/>
      <c r="F628" s="6"/>
    </row>
    <row r="629" spans="1:6" ht="15.75" customHeight="1">
      <c r="A629" s="14"/>
      <c r="B629" s="6"/>
      <c r="C629" s="6"/>
      <c r="D629" s="6"/>
      <c r="E629" s="6"/>
      <c r="F629" s="6"/>
    </row>
    <row r="630" spans="1:6" ht="15.75" customHeight="1">
      <c r="A630" s="14"/>
      <c r="B630" s="6"/>
      <c r="C630" s="6"/>
      <c r="D630" s="6"/>
      <c r="E630" s="6"/>
      <c r="F630" s="6"/>
    </row>
    <row r="631" spans="1:6" ht="15.75" customHeight="1">
      <c r="A631" s="14"/>
      <c r="B631" s="6"/>
      <c r="C631" s="6"/>
      <c r="D631" s="6"/>
      <c r="E631" s="6"/>
      <c r="F631" s="6"/>
    </row>
    <row r="632" spans="1:6" ht="15.75" customHeight="1">
      <c r="A632" s="14"/>
      <c r="B632" s="6"/>
      <c r="C632" s="6"/>
      <c r="D632" s="6"/>
      <c r="E632" s="6"/>
      <c r="F632" s="6"/>
    </row>
    <row r="633" spans="1:6" ht="15.75" customHeight="1">
      <c r="A633" s="14"/>
      <c r="B633" s="6"/>
      <c r="C633" s="6"/>
      <c r="D633" s="6"/>
      <c r="E633" s="6"/>
      <c r="F633" s="6"/>
    </row>
    <row r="634" spans="1:6" ht="15.75" customHeight="1">
      <c r="A634" s="14"/>
      <c r="B634" s="6"/>
      <c r="C634" s="6"/>
      <c r="D634" s="6"/>
      <c r="E634" s="6"/>
      <c r="F634" s="6"/>
    </row>
    <row r="635" spans="1:6" ht="15.75" customHeight="1">
      <c r="A635" s="14"/>
      <c r="B635" s="6"/>
      <c r="C635" s="6"/>
      <c r="D635" s="6"/>
      <c r="E635" s="6"/>
      <c r="F635" s="6"/>
    </row>
    <row r="636" spans="1:6" ht="15.75" customHeight="1">
      <c r="A636" s="14"/>
      <c r="B636" s="6"/>
      <c r="C636" s="6"/>
      <c r="D636" s="6"/>
      <c r="E636" s="6"/>
      <c r="F636" s="6"/>
    </row>
    <row r="637" spans="1:6" ht="15.75" customHeight="1">
      <c r="A637" s="14"/>
      <c r="B637" s="6"/>
      <c r="C637" s="6"/>
      <c r="D637" s="6"/>
      <c r="E637" s="6"/>
      <c r="F637" s="6"/>
    </row>
    <row r="638" spans="1:6" ht="15.75" customHeight="1">
      <c r="A638" s="14"/>
      <c r="B638" s="6"/>
      <c r="C638" s="6"/>
      <c r="D638" s="6"/>
      <c r="E638" s="6"/>
      <c r="F638" s="6"/>
    </row>
    <row r="639" spans="1:6" ht="15.75" customHeight="1">
      <c r="A639" s="14"/>
      <c r="B639" s="6"/>
      <c r="C639" s="6"/>
      <c r="D639" s="6"/>
      <c r="E639" s="6"/>
      <c r="F639" s="6"/>
    </row>
    <row r="640" spans="1:6" ht="15.75" customHeight="1">
      <c r="A640" s="14"/>
      <c r="B640" s="6"/>
      <c r="C640" s="6"/>
      <c r="D640" s="6"/>
      <c r="E640" s="6"/>
      <c r="F640" s="6"/>
    </row>
    <row r="641" spans="1:6" ht="15.75" customHeight="1">
      <c r="A641" s="14"/>
      <c r="B641" s="6"/>
      <c r="C641" s="6"/>
      <c r="D641" s="6"/>
      <c r="E641" s="6"/>
      <c r="F641" s="6"/>
    </row>
    <row r="642" spans="1:6" ht="15.75" customHeight="1">
      <c r="A642" s="14"/>
      <c r="B642" s="6"/>
      <c r="C642" s="6"/>
      <c r="D642" s="6"/>
      <c r="E642" s="6"/>
      <c r="F642" s="6"/>
    </row>
    <row r="643" spans="1:6" ht="15.75" customHeight="1">
      <c r="A643" s="14"/>
      <c r="B643" s="6"/>
      <c r="C643" s="6"/>
      <c r="D643" s="6"/>
      <c r="E643" s="6"/>
      <c r="F643" s="6"/>
    </row>
    <row r="644" spans="1:6" ht="15.75" customHeight="1">
      <c r="A644" s="14"/>
      <c r="B644" s="6"/>
      <c r="C644" s="6"/>
      <c r="D644" s="6"/>
      <c r="E644" s="6"/>
      <c r="F644" s="6"/>
    </row>
    <row r="645" spans="1:6" ht="15.75" customHeight="1">
      <c r="A645" s="14"/>
      <c r="B645" s="6"/>
      <c r="C645" s="6"/>
      <c r="D645" s="6"/>
      <c r="E645" s="6"/>
      <c r="F645" s="6"/>
    </row>
    <row r="646" spans="1:6" ht="15.75" customHeight="1">
      <c r="A646" s="14"/>
      <c r="B646" s="6"/>
      <c r="C646" s="6"/>
      <c r="D646" s="6"/>
      <c r="E646" s="6"/>
      <c r="F646" s="6"/>
    </row>
    <row r="647" spans="1:6" ht="15.75" customHeight="1">
      <c r="A647" s="14"/>
      <c r="B647" s="6"/>
      <c r="C647" s="6"/>
      <c r="D647" s="6"/>
      <c r="E647" s="6"/>
      <c r="F647" s="6"/>
    </row>
    <row r="648" spans="1:6" ht="15.75" customHeight="1">
      <c r="A648" s="14"/>
      <c r="B648" s="6"/>
      <c r="C648" s="6"/>
      <c r="D648" s="6"/>
      <c r="E648" s="6"/>
      <c r="F648" s="6"/>
    </row>
    <row r="649" spans="1:6" ht="15.75" customHeight="1">
      <c r="A649" s="14"/>
      <c r="B649" s="6"/>
      <c r="C649" s="6"/>
      <c r="D649" s="6"/>
      <c r="E649" s="6"/>
      <c r="F649" s="6"/>
    </row>
    <row r="650" spans="1:6" ht="15.75" customHeight="1">
      <c r="A650" s="14"/>
      <c r="B650" s="6"/>
      <c r="C650" s="6"/>
      <c r="D650" s="6"/>
      <c r="E650" s="6"/>
      <c r="F650" s="6"/>
    </row>
    <row r="651" spans="1:6" ht="15.75" customHeight="1">
      <c r="A651" s="14"/>
      <c r="B651" s="6"/>
      <c r="C651" s="6"/>
      <c r="D651" s="6"/>
      <c r="E651" s="6"/>
      <c r="F651" s="6"/>
    </row>
    <row r="652" spans="1:6" ht="15.75" customHeight="1">
      <c r="A652" s="14"/>
      <c r="B652" s="6"/>
      <c r="C652" s="6"/>
      <c r="D652" s="6"/>
      <c r="E652" s="6"/>
      <c r="F652" s="6"/>
    </row>
    <row r="653" spans="1:6" ht="15.75" customHeight="1">
      <c r="A653" s="14"/>
      <c r="B653" s="6"/>
      <c r="C653" s="6"/>
      <c r="D653" s="6"/>
      <c r="E653" s="6"/>
      <c r="F653" s="6"/>
    </row>
    <row r="654" spans="1:6" ht="15.75" customHeight="1">
      <c r="A654" s="14"/>
      <c r="B654" s="6"/>
      <c r="C654" s="6"/>
      <c r="D654" s="6"/>
      <c r="E654" s="6"/>
      <c r="F654" s="6"/>
    </row>
    <row r="655" spans="1:6" ht="15.75" customHeight="1">
      <c r="A655" s="14"/>
      <c r="B655" s="6"/>
      <c r="C655" s="6"/>
      <c r="D655" s="6"/>
      <c r="E655" s="6"/>
      <c r="F655" s="6"/>
    </row>
    <row r="656" spans="1:6" ht="15.75" customHeight="1">
      <c r="A656" s="14"/>
      <c r="B656" s="6"/>
      <c r="C656" s="6"/>
      <c r="D656" s="6"/>
      <c r="E656" s="6"/>
      <c r="F656" s="6"/>
    </row>
    <row r="657" spans="1:6" ht="15.75" customHeight="1">
      <c r="A657" s="14"/>
      <c r="B657" s="6"/>
      <c r="C657" s="6"/>
      <c r="D657" s="6"/>
      <c r="E657" s="6"/>
      <c r="F657" s="6"/>
    </row>
    <row r="658" spans="1:6" ht="15.75" customHeight="1">
      <c r="A658" s="14"/>
      <c r="B658" s="6"/>
      <c r="C658" s="6"/>
      <c r="D658" s="6"/>
      <c r="E658" s="6"/>
      <c r="F658" s="6"/>
    </row>
    <row r="659" spans="1:6" ht="15.75" customHeight="1">
      <c r="A659" s="14"/>
      <c r="B659" s="6"/>
      <c r="C659" s="6"/>
      <c r="D659" s="6"/>
      <c r="E659" s="6"/>
      <c r="F659" s="6"/>
    </row>
    <row r="660" spans="1:6" ht="15.75" customHeight="1">
      <c r="A660" s="14"/>
      <c r="B660" s="6"/>
      <c r="C660" s="6"/>
      <c r="D660" s="6"/>
      <c r="E660" s="6"/>
      <c r="F660" s="6"/>
    </row>
    <row r="661" spans="1:6" ht="15.75" customHeight="1">
      <c r="A661" s="14"/>
      <c r="B661" s="6"/>
      <c r="C661" s="6"/>
      <c r="D661" s="6"/>
      <c r="E661" s="6"/>
      <c r="F661" s="6"/>
    </row>
    <row r="662" spans="1:6" ht="15.75" customHeight="1">
      <c r="A662" s="14"/>
      <c r="B662" s="6"/>
      <c r="C662" s="6"/>
      <c r="D662" s="6"/>
      <c r="E662" s="6"/>
      <c r="F662" s="6"/>
    </row>
    <row r="663" spans="1:6" ht="15.75" customHeight="1">
      <c r="A663" s="14"/>
      <c r="B663" s="6"/>
      <c r="C663" s="6"/>
      <c r="D663" s="6"/>
      <c r="E663" s="6"/>
      <c r="F663" s="6"/>
    </row>
    <row r="664" spans="1:6" ht="15.75" customHeight="1">
      <c r="A664" s="14"/>
      <c r="B664" s="6"/>
      <c r="C664" s="6"/>
      <c r="D664" s="6"/>
      <c r="E664" s="6"/>
      <c r="F664" s="6"/>
    </row>
    <row r="665" spans="1:6" ht="15.75" customHeight="1">
      <c r="A665" s="14"/>
      <c r="B665" s="6"/>
      <c r="C665" s="6"/>
      <c r="D665" s="6"/>
      <c r="E665" s="6"/>
      <c r="F665" s="6"/>
    </row>
    <row r="666" spans="1:6" ht="15.75" customHeight="1">
      <c r="A666" s="14"/>
      <c r="B666" s="6"/>
      <c r="C666" s="6"/>
      <c r="D666" s="6"/>
      <c r="E666" s="6"/>
      <c r="F666" s="6"/>
    </row>
    <row r="667" spans="1:6" ht="15.75" customHeight="1">
      <c r="A667" s="14"/>
      <c r="B667" s="6"/>
      <c r="C667" s="6"/>
      <c r="D667" s="6"/>
      <c r="E667" s="6"/>
      <c r="F667" s="6"/>
    </row>
    <row r="668" spans="1:6" ht="15.75" customHeight="1">
      <c r="A668" s="14"/>
      <c r="B668" s="6"/>
      <c r="C668" s="6"/>
      <c r="D668" s="6"/>
      <c r="E668" s="6"/>
      <c r="F668" s="6"/>
    </row>
    <row r="669" spans="1:6" ht="15.75" customHeight="1">
      <c r="A669" s="14"/>
      <c r="B669" s="6"/>
      <c r="C669" s="6"/>
      <c r="D669" s="6"/>
      <c r="E669" s="6"/>
      <c r="F669" s="6"/>
    </row>
    <row r="670" spans="1:6" ht="15.75" customHeight="1">
      <c r="A670" s="14"/>
      <c r="B670" s="6"/>
      <c r="C670" s="6"/>
      <c r="D670" s="6"/>
      <c r="E670" s="6"/>
      <c r="F670" s="6"/>
    </row>
    <row r="671" spans="1:6" ht="15.75" customHeight="1">
      <c r="A671" s="14"/>
      <c r="B671" s="6"/>
      <c r="C671" s="6"/>
      <c r="D671" s="6"/>
      <c r="E671" s="6"/>
      <c r="F671" s="6"/>
    </row>
    <row r="672" spans="1:6" ht="15.75" customHeight="1">
      <c r="A672" s="14"/>
      <c r="B672" s="6"/>
      <c r="C672" s="6"/>
      <c r="D672" s="6"/>
      <c r="E672" s="6"/>
      <c r="F672" s="6"/>
    </row>
    <row r="673" spans="1:6" ht="15.75" customHeight="1">
      <c r="A673" s="14"/>
      <c r="B673" s="6"/>
      <c r="C673" s="6"/>
      <c r="D673" s="6"/>
      <c r="E673" s="6"/>
      <c r="F673" s="6"/>
    </row>
    <row r="674" spans="1:6" ht="15.75" customHeight="1">
      <c r="A674" s="14"/>
      <c r="B674" s="6"/>
      <c r="C674" s="6"/>
      <c r="D674" s="6"/>
      <c r="E674" s="6"/>
      <c r="F674" s="6"/>
    </row>
    <row r="675" spans="1:6" ht="15.75" customHeight="1">
      <c r="A675" s="14"/>
      <c r="B675" s="6"/>
      <c r="C675" s="6"/>
      <c r="D675" s="6"/>
      <c r="E675" s="6"/>
      <c r="F675" s="6"/>
    </row>
    <row r="676" spans="1:6" ht="15.75" customHeight="1">
      <c r="A676" s="14"/>
      <c r="B676" s="6"/>
      <c r="C676" s="6"/>
      <c r="D676" s="6"/>
      <c r="E676" s="6"/>
      <c r="F676" s="6"/>
    </row>
    <row r="677" spans="1:6" ht="15.75" customHeight="1">
      <c r="A677" s="14"/>
      <c r="B677" s="6"/>
      <c r="C677" s="6"/>
      <c r="D677" s="6"/>
      <c r="E677" s="6"/>
      <c r="F677" s="6"/>
    </row>
    <row r="678" spans="1:6" ht="15.75" customHeight="1">
      <c r="A678" s="14"/>
      <c r="B678" s="6"/>
      <c r="C678" s="6"/>
      <c r="D678" s="6"/>
      <c r="E678" s="6"/>
      <c r="F678" s="6"/>
    </row>
    <row r="679" spans="1:6" ht="15.75" customHeight="1">
      <c r="A679" s="14"/>
      <c r="B679" s="6"/>
      <c r="C679" s="6"/>
      <c r="D679" s="6"/>
      <c r="E679" s="6"/>
      <c r="F679" s="6"/>
    </row>
    <row r="680" spans="1:6" ht="15.75" customHeight="1">
      <c r="A680" s="14"/>
      <c r="B680" s="6"/>
      <c r="C680" s="6"/>
      <c r="D680" s="6"/>
      <c r="E680" s="6"/>
      <c r="F680" s="6"/>
    </row>
    <row r="681" spans="1:6" ht="15.75" customHeight="1">
      <c r="A681" s="14"/>
      <c r="B681" s="6"/>
      <c r="C681" s="6"/>
      <c r="D681" s="6"/>
      <c r="E681" s="6"/>
      <c r="F681" s="6"/>
    </row>
    <row r="682" spans="1:6" ht="15.75" customHeight="1">
      <c r="A682" s="14"/>
      <c r="B682" s="6"/>
      <c r="C682" s="6"/>
      <c r="D682" s="6"/>
      <c r="E682" s="6"/>
      <c r="F682" s="6"/>
    </row>
    <row r="683" spans="1:6" ht="15.75" customHeight="1">
      <c r="A683" s="14"/>
      <c r="B683" s="6"/>
      <c r="C683" s="6"/>
      <c r="D683" s="6"/>
      <c r="E683" s="6"/>
      <c r="F683" s="6"/>
    </row>
    <row r="684" spans="1:6" ht="15.75" customHeight="1">
      <c r="A684" s="14"/>
      <c r="B684" s="6"/>
      <c r="C684" s="6"/>
      <c r="D684" s="6"/>
      <c r="E684" s="6"/>
      <c r="F684" s="6"/>
    </row>
    <row r="685" spans="1:6" ht="15.75" customHeight="1">
      <c r="A685" s="14"/>
      <c r="B685" s="6"/>
      <c r="C685" s="6"/>
      <c r="D685" s="6"/>
      <c r="E685" s="6"/>
      <c r="F685" s="6"/>
    </row>
    <row r="686" spans="1:6" ht="15.75" customHeight="1">
      <c r="A686" s="14"/>
      <c r="B686" s="6"/>
      <c r="C686" s="6"/>
      <c r="D686" s="6"/>
      <c r="E686" s="6"/>
      <c r="F686" s="6"/>
    </row>
    <row r="687" spans="1:6" ht="15.75" customHeight="1">
      <c r="A687" s="14"/>
      <c r="B687" s="6"/>
      <c r="C687" s="6"/>
      <c r="D687" s="6"/>
      <c r="E687" s="6"/>
      <c r="F687" s="6"/>
    </row>
    <row r="688" spans="1:6" ht="15.75" customHeight="1">
      <c r="A688" s="14"/>
      <c r="B688" s="6"/>
      <c r="C688" s="6"/>
      <c r="D688" s="6"/>
      <c r="E688" s="6"/>
      <c r="F688" s="6"/>
    </row>
    <row r="689" spans="1:6" ht="15.75" customHeight="1">
      <c r="A689" s="14"/>
      <c r="B689" s="6"/>
      <c r="C689" s="6"/>
      <c r="D689" s="6"/>
      <c r="E689" s="6"/>
      <c r="F689" s="6"/>
    </row>
    <row r="690" spans="1:6" ht="15.75" customHeight="1">
      <c r="A690" s="14"/>
      <c r="B690" s="6"/>
      <c r="C690" s="6"/>
      <c r="D690" s="6"/>
      <c r="E690" s="6"/>
      <c r="F690" s="6"/>
    </row>
    <row r="691" spans="1:6" ht="15.75" customHeight="1">
      <c r="A691" s="14"/>
      <c r="B691" s="6"/>
      <c r="C691" s="6"/>
      <c r="D691" s="6"/>
      <c r="E691" s="6"/>
      <c r="F691" s="6"/>
    </row>
    <row r="692" spans="1:6" ht="15.75" customHeight="1">
      <c r="A692" s="14"/>
      <c r="B692" s="6"/>
      <c r="C692" s="6"/>
      <c r="D692" s="6"/>
      <c r="E692" s="6"/>
      <c r="F692" s="6"/>
    </row>
    <row r="693" spans="1:6" ht="15.75" customHeight="1">
      <c r="A693" s="14"/>
      <c r="B693" s="6"/>
      <c r="C693" s="6"/>
      <c r="D693" s="6"/>
      <c r="E693" s="6"/>
      <c r="F693" s="6"/>
    </row>
    <row r="694" spans="1:6" ht="15.75" customHeight="1">
      <c r="A694" s="14"/>
      <c r="B694" s="6"/>
      <c r="C694" s="6"/>
      <c r="D694" s="6"/>
      <c r="E694" s="6"/>
      <c r="F694" s="6"/>
    </row>
    <row r="695" spans="1:6" ht="15.75" customHeight="1">
      <c r="A695" s="14"/>
      <c r="B695" s="6"/>
      <c r="C695" s="6"/>
      <c r="D695" s="6"/>
      <c r="E695" s="6"/>
      <c r="F695" s="6"/>
    </row>
    <row r="696" spans="1:6" ht="15.75" customHeight="1">
      <c r="A696" s="14"/>
      <c r="B696" s="6"/>
      <c r="C696" s="6"/>
      <c r="D696" s="6"/>
      <c r="E696" s="6"/>
      <c r="F696" s="6"/>
    </row>
    <row r="697" spans="1:6" ht="15.75" customHeight="1">
      <c r="A697" s="14"/>
      <c r="B697" s="6"/>
      <c r="C697" s="6"/>
      <c r="D697" s="6"/>
      <c r="E697" s="6"/>
      <c r="F697" s="6"/>
    </row>
    <row r="698" spans="1:6" ht="15.75" customHeight="1">
      <c r="A698" s="14"/>
      <c r="B698" s="6"/>
      <c r="C698" s="6"/>
      <c r="D698" s="6"/>
      <c r="E698" s="6"/>
      <c r="F698" s="6"/>
    </row>
    <row r="699" spans="1:6" ht="15.75" customHeight="1">
      <c r="A699" s="14"/>
      <c r="B699" s="6"/>
      <c r="C699" s="6"/>
      <c r="D699" s="6"/>
      <c r="E699" s="6"/>
      <c r="F699" s="6"/>
    </row>
    <row r="700" spans="1:6" ht="15.75" customHeight="1">
      <c r="A700" s="14"/>
      <c r="B700" s="6"/>
      <c r="C700" s="6"/>
      <c r="D700" s="6"/>
      <c r="E700" s="6"/>
      <c r="F700" s="6"/>
    </row>
    <row r="701" spans="1:6" ht="15.75" customHeight="1">
      <c r="A701" s="14"/>
      <c r="B701" s="6"/>
      <c r="C701" s="6"/>
      <c r="D701" s="6"/>
      <c r="E701" s="6"/>
      <c r="F701" s="6"/>
    </row>
    <row r="702" spans="1:6" ht="15.75" customHeight="1">
      <c r="A702" s="14"/>
      <c r="B702" s="6"/>
      <c r="C702" s="6"/>
      <c r="D702" s="6"/>
      <c r="E702" s="6"/>
      <c r="F702" s="6"/>
    </row>
    <row r="703" spans="1:6" ht="15.75" customHeight="1">
      <c r="A703" s="14"/>
      <c r="B703" s="6"/>
      <c r="C703" s="6"/>
      <c r="D703" s="6"/>
      <c r="E703" s="6"/>
      <c r="F703" s="6"/>
    </row>
    <row r="704" spans="1:6" ht="15.75" customHeight="1">
      <c r="A704" s="14"/>
      <c r="B704" s="6"/>
      <c r="C704" s="6"/>
      <c r="D704" s="6"/>
      <c r="E704" s="6"/>
      <c r="F704" s="6"/>
    </row>
    <row r="705" spans="1:6" ht="15.75" customHeight="1">
      <c r="A705" s="14"/>
      <c r="B705" s="6"/>
      <c r="C705" s="6"/>
      <c r="D705" s="6"/>
      <c r="E705" s="6"/>
      <c r="F705" s="6"/>
    </row>
    <row r="706" spans="1:6" ht="15.75" customHeight="1">
      <c r="A706" s="14"/>
      <c r="B706" s="6"/>
      <c r="C706" s="6"/>
      <c r="D706" s="6"/>
      <c r="E706" s="6"/>
      <c r="F706" s="6"/>
    </row>
    <row r="707" spans="1:6" ht="15.75" customHeight="1">
      <c r="A707" s="14"/>
      <c r="B707" s="6"/>
      <c r="C707" s="6"/>
      <c r="D707" s="6"/>
      <c r="E707" s="6"/>
      <c r="F707" s="6"/>
    </row>
    <row r="708" spans="1:6" ht="15.75" customHeight="1">
      <c r="A708" s="14"/>
      <c r="B708" s="6"/>
      <c r="C708" s="6"/>
      <c r="D708" s="6"/>
      <c r="E708" s="6"/>
      <c r="F708" s="6"/>
    </row>
    <row r="709" spans="1:6" ht="15.75" customHeight="1">
      <c r="A709" s="14"/>
      <c r="B709" s="6"/>
      <c r="C709" s="6"/>
      <c r="D709" s="6"/>
      <c r="E709" s="6"/>
      <c r="F709" s="6"/>
    </row>
    <row r="710" spans="1:6" ht="15.75" customHeight="1">
      <c r="A710" s="14"/>
      <c r="B710" s="6"/>
      <c r="C710" s="6"/>
      <c r="D710" s="6"/>
      <c r="E710" s="6"/>
      <c r="F710" s="6"/>
    </row>
    <row r="711" spans="1:6" ht="15.75" customHeight="1">
      <c r="A711" s="14"/>
      <c r="B711" s="6"/>
      <c r="C711" s="6"/>
      <c r="D711" s="6"/>
      <c r="E711" s="6"/>
      <c r="F711" s="6"/>
    </row>
    <row r="712" spans="1:6" ht="15.75" customHeight="1">
      <c r="A712" s="14"/>
      <c r="B712" s="6"/>
      <c r="C712" s="6"/>
      <c r="D712" s="6"/>
      <c r="E712" s="6"/>
      <c r="F712" s="6"/>
    </row>
    <row r="713" spans="1:6" ht="15.75" customHeight="1">
      <c r="A713" s="14"/>
      <c r="B713" s="6"/>
      <c r="C713" s="6"/>
      <c r="D713" s="6"/>
      <c r="E713" s="6"/>
      <c r="F713" s="6"/>
    </row>
    <row r="714" spans="1:6" ht="15.75" customHeight="1">
      <c r="A714" s="14"/>
      <c r="B714" s="6"/>
      <c r="C714" s="6"/>
      <c r="D714" s="6"/>
      <c r="E714" s="6"/>
      <c r="F714" s="6"/>
    </row>
    <row r="715" spans="1:6" ht="15.75" customHeight="1">
      <c r="A715" s="14"/>
      <c r="B715" s="6"/>
      <c r="C715" s="6"/>
      <c r="D715" s="6"/>
      <c r="E715" s="6"/>
      <c r="F715" s="6"/>
    </row>
    <row r="716" spans="1:6" ht="15.75" customHeight="1">
      <c r="A716" s="14"/>
      <c r="B716" s="6"/>
      <c r="C716" s="6"/>
      <c r="D716" s="6"/>
      <c r="E716" s="6"/>
      <c r="F716" s="6"/>
    </row>
    <row r="717" spans="1:6" ht="15.75" customHeight="1">
      <c r="A717" s="14"/>
      <c r="B717" s="6"/>
      <c r="C717" s="6"/>
      <c r="D717" s="6"/>
      <c r="E717" s="6"/>
      <c r="F717" s="6"/>
    </row>
    <row r="718" spans="1:6" ht="15.75" customHeight="1">
      <c r="A718" s="14"/>
      <c r="B718" s="6"/>
      <c r="C718" s="6"/>
      <c r="D718" s="6"/>
      <c r="E718" s="6"/>
      <c r="F718" s="6"/>
    </row>
    <row r="719" spans="1:6" ht="15.75" customHeight="1">
      <c r="A719" s="14"/>
      <c r="B719" s="6"/>
      <c r="C719" s="6"/>
      <c r="D719" s="6"/>
      <c r="E719" s="6"/>
      <c r="F719" s="6"/>
    </row>
    <row r="720" spans="1:6" ht="15.75" customHeight="1">
      <c r="A720" s="14"/>
      <c r="B720" s="6"/>
      <c r="C720" s="6"/>
      <c r="D720" s="6"/>
      <c r="E720" s="6"/>
      <c r="F720" s="6"/>
    </row>
    <row r="721" spans="1:6" ht="15.75" customHeight="1">
      <c r="A721" s="14"/>
      <c r="B721" s="6"/>
      <c r="C721" s="6"/>
      <c r="D721" s="6"/>
      <c r="E721" s="6"/>
      <c r="F721" s="6"/>
    </row>
    <row r="722" spans="1:6" ht="15.75" customHeight="1">
      <c r="A722" s="14"/>
      <c r="B722" s="6"/>
      <c r="C722" s="6"/>
      <c r="D722" s="6"/>
      <c r="E722" s="6"/>
      <c r="F722" s="6"/>
    </row>
    <row r="723" spans="1:6" ht="15.75" customHeight="1">
      <c r="A723" s="14"/>
      <c r="B723" s="6"/>
      <c r="C723" s="6"/>
      <c r="D723" s="6"/>
      <c r="E723" s="6"/>
      <c r="F723" s="6"/>
    </row>
    <row r="724" spans="1:6" ht="15.75" customHeight="1">
      <c r="A724" s="14"/>
      <c r="B724" s="6"/>
      <c r="C724" s="6"/>
      <c r="D724" s="6"/>
      <c r="E724" s="6"/>
      <c r="F724" s="6"/>
    </row>
    <row r="725" spans="1:6" ht="15.75" customHeight="1">
      <c r="A725" s="14"/>
      <c r="B725" s="6"/>
      <c r="C725" s="6"/>
      <c r="D725" s="6"/>
      <c r="E725" s="6"/>
      <c r="F725" s="6"/>
    </row>
    <row r="726" spans="1:6" ht="15.75" customHeight="1">
      <c r="A726" s="14"/>
      <c r="B726" s="6"/>
      <c r="C726" s="6"/>
      <c r="D726" s="6"/>
      <c r="E726" s="6"/>
      <c r="F726" s="6"/>
    </row>
    <row r="727" spans="1:6" ht="15.75" customHeight="1">
      <c r="A727" s="14"/>
      <c r="B727" s="6"/>
      <c r="C727" s="6"/>
      <c r="D727" s="6"/>
      <c r="E727" s="6"/>
      <c r="F727" s="6"/>
    </row>
    <row r="728" spans="1:6" ht="15.75" customHeight="1">
      <c r="A728" s="14"/>
      <c r="B728" s="6"/>
      <c r="C728" s="6"/>
      <c r="D728" s="6"/>
      <c r="E728" s="6"/>
      <c r="F728" s="6"/>
    </row>
    <row r="729" spans="1:6" ht="15.75" customHeight="1">
      <c r="A729" s="14"/>
      <c r="B729" s="6"/>
      <c r="C729" s="6"/>
      <c r="D729" s="6"/>
      <c r="E729" s="6"/>
      <c r="F729" s="6"/>
    </row>
    <row r="730" spans="1:6" ht="15.75" customHeight="1">
      <c r="A730" s="14"/>
      <c r="B730" s="6"/>
      <c r="C730" s="6"/>
      <c r="D730" s="6"/>
      <c r="E730" s="6"/>
      <c r="F730" s="6"/>
    </row>
    <row r="731" spans="1:6" ht="15.75" customHeight="1">
      <c r="A731" s="14"/>
      <c r="B731" s="6"/>
      <c r="C731" s="6"/>
      <c r="D731" s="6"/>
      <c r="E731" s="6"/>
      <c r="F731" s="6"/>
    </row>
    <row r="732" spans="1:6" ht="15.75" customHeight="1">
      <c r="A732" s="14"/>
      <c r="B732" s="6"/>
      <c r="C732" s="6"/>
      <c r="D732" s="6"/>
      <c r="E732" s="6"/>
      <c r="F732" s="6"/>
    </row>
    <row r="733" spans="1:6" ht="15.75" customHeight="1">
      <c r="A733" s="14"/>
      <c r="B733" s="6"/>
      <c r="C733" s="6"/>
      <c r="D733" s="6"/>
      <c r="E733" s="6"/>
      <c r="F733" s="6"/>
    </row>
    <row r="734" spans="1:6" ht="15.75" customHeight="1">
      <c r="A734" s="14"/>
      <c r="B734" s="6"/>
      <c r="C734" s="6"/>
      <c r="D734" s="6"/>
      <c r="E734" s="6"/>
      <c r="F734" s="6"/>
    </row>
    <row r="735" spans="1:6" ht="15.75" customHeight="1">
      <c r="A735" s="14"/>
      <c r="B735" s="6"/>
      <c r="C735" s="6"/>
      <c r="D735" s="6"/>
      <c r="E735" s="6"/>
      <c r="F735" s="6"/>
    </row>
    <row r="736" spans="1:6" ht="15.75" customHeight="1">
      <c r="A736" s="14"/>
      <c r="B736" s="6"/>
      <c r="C736" s="6"/>
      <c r="D736" s="6"/>
      <c r="E736" s="6"/>
      <c r="F736" s="6"/>
    </row>
    <row r="737" spans="1:6" ht="15.75" customHeight="1">
      <c r="A737" s="14"/>
      <c r="B737" s="6"/>
      <c r="C737" s="6"/>
      <c r="D737" s="6"/>
      <c r="E737" s="6"/>
      <c r="F737" s="6"/>
    </row>
    <row r="738" spans="1:6" ht="15.75" customHeight="1">
      <c r="A738" s="14"/>
      <c r="B738" s="6"/>
      <c r="C738" s="6"/>
      <c r="D738" s="6"/>
      <c r="E738" s="6"/>
      <c r="F738" s="6"/>
    </row>
    <row r="739" spans="1:6" ht="15.75" customHeight="1">
      <c r="A739" s="14"/>
      <c r="B739" s="6"/>
      <c r="C739" s="6"/>
      <c r="D739" s="6"/>
      <c r="E739" s="6"/>
      <c r="F739" s="6"/>
    </row>
    <row r="740" spans="1:6" ht="15.75" customHeight="1">
      <c r="A740" s="14"/>
      <c r="B740" s="6"/>
      <c r="C740" s="6"/>
      <c r="D740" s="6"/>
      <c r="E740" s="6"/>
      <c r="F740" s="6"/>
    </row>
    <row r="741" spans="1:6" ht="15.75" customHeight="1">
      <c r="A741" s="14"/>
      <c r="B741" s="6"/>
      <c r="C741" s="6"/>
      <c r="D741" s="6"/>
      <c r="E741" s="6"/>
      <c r="F741" s="6"/>
    </row>
    <row r="742" spans="1:6" ht="15.75" customHeight="1">
      <c r="A742" s="14"/>
      <c r="B742" s="6"/>
      <c r="C742" s="6"/>
      <c r="D742" s="6"/>
      <c r="E742" s="6"/>
      <c r="F742" s="6"/>
    </row>
    <row r="743" spans="1:6" ht="15.75" customHeight="1">
      <c r="A743" s="14"/>
      <c r="B743" s="6"/>
      <c r="C743" s="6"/>
      <c r="D743" s="6"/>
      <c r="E743" s="6"/>
      <c r="F743" s="6"/>
    </row>
    <row r="744" spans="1:6" ht="15.75" customHeight="1">
      <c r="A744" s="14"/>
      <c r="B744" s="6"/>
      <c r="C744" s="6"/>
      <c r="D744" s="6"/>
      <c r="E744" s="6"/>
      <c r="F744" s="6"/>
    </row>
    <row r="745" spans="1:6" ht="15.75" customHeight="1">
      <c r="A745" s="14"/>
      <c r="B745" s="6"/>
      <c r="C745" s="6"/>
      <c r="D745" s="6"/>
      <c r="E745" s="6"/>
      <c r="F745" s="6"/>
    </row>
    <row r="746" spans="1:6" ht="15.75" customHeight="1">
      <c r="A746" s="14"/>
      <c r="B746" s="6"/>
      <c r="C746" s="6"/>
      <c r="D746" s="6"/>
      <c r="E746" s="6"/>
      <c r="F746" s="6"/>
    </row>
    <row r="747" spans="1:6" ht="15.75" customHeight="1">
      <c r="A747" s="14"/>
      <c r="B747" s="6"/>
      <c r="C747" s="6"/>
      <c r="D747" s="6"/>
      <c r="E747" s="6"/>
      <c r="F747" s="6"/>
    </row>
    <row r="748" spans="1:6" ht="15.75" customHeight="1">
      <c r="A748" s="14"/>
      <c r="B748" s="6"/>
      <c r="C748" s="6"/>
      <c r="D748" s="6"/>
      <c r="E748" s="6"/>
      <c r="F748" s="6"/>
    </row>
    <row r="749" spans="1:6" ht="15.75" customHeight="1">
      <c r="A749" s="14"/>
      <c r="B749" s="6"/>
      <c r="C749" s="6"/>
      <c r="D749" s="6"/>
      <c r="E749" s="6"/>
      <c r="F749" s="6"/>
    </row>
    <row r="750" spans="1:6" ht="15.75" customHeight="1">
      <c r="A750" s="14"/>
      <c r="B750" s="6"/>
      <c r="C750" s="6"/>
      <c r="D750" s="6"/>
      <c r="E750" s="6"/>
      <c r="F750" s="6"/>
    </row>
    <row r="751" spans="1:6" ht="15.75" customHeight="1">
      <c r="A751" s="14"/>
      <c r="B751" s="6"/>
      <c r="C751" s="6"/>
      <c r="D751" s="6"/>
      <c r="E751" s="6"/>
      <c r="F751" s="6"/>
    </row>
    <row r="752" spans="1:6" ht="15.75" customHeight="1">
      <c r="A752" s="14"/>
      <c r="B752" s="6"/>
      <c r="C752" s="6"/>
      <c r="D752" s="6"/>
      <c r="E752" s="6"/>
      <c r="F752" s="6"/>
    </row>
    <row r="753" spans="1:6" ht="15.75" customHeight="1">
      <c r="A753" s="14"/>
      <c r="B753" s="6"/>
      <c r="C753" s="6"/>
      <c r="D753" s="6"/>
      <c r="E753" s="6"/>
      <c r="F753" s="6"/>
    </row>
    <row r="754" spans="1:6" ht="15.75" customHeight="1">
      <c r="A754" s="14"/>
      <c r="B754" s="6"/>
      <c r="C754" s="6"/>
      <c r="D754" s="6"/>
      <c r="E754" s="6"/>
      <c r="F754" s="6"/>
    </row>
    <row r="755" spans="1:6" ht="15.75" customHeight="1">
      <c r="A755" s="14"/>
      <c r="B755" s="6"/>
      <c r="C755" s="6"/>
      <c r="D755" s="6"/>
      <c r="E755" s="6"/>
      <c r="F755" s="6"/>
    </row>
    <row r="756" spans="1:6" ht="15.75" customHeight="1">
      <c r="A756" s="14"/>
      <c r="B756" s="6"/>
      <c r="C756" s="6"/>
      <c r="D756" s="6"/>
      <c r="E756" s="6"/>
      <c r="F756" s="6"/>
    </row>
    <row r="757" spans="1:6" ht="15.75" customHeight="1">
      <c r="A757" s="14"/>
      <c r="B757" s="6"/>
      <c r="C757" s="6"/>
      <c r="D757" s="6"/>
      <c r="E757" s="6"/>
      <c r="F757" s="6"/>
    </row>
    <row r="758" spans="1:6" ht="15.75" customHeight="1">
      <c r="A758" s="14"/>
      <c r="B758" s="6"/>
      <c r="C758" s="6"/>
      <c r="D758" s="6"/>
      <c r="E758" s="6"/>
      <c r="F758" s="6"/>
    </row>
    <row r="759" spans="1:6" ht="15.75" customHeight="1">
      <c r="A759" s="14"/>
      <c r="B759" s="6"/>
      <c r="C759" s="6"/>
      <c r="D759" s="6"/>
      <c r="E759" s="6"/>
      <c r="F759" s="6"/>
    </row>
    <row r="760" spans="1:6" ht="15.75" customHeight="1">
      <c r="A760" s="14"/>
      <c r="B760" s="6"/>
      <c r="C760" s="6"/>
      <c r="D760" s="6"/>
      <c r="E760" s="6"/>
      <c r="F760" s="6"/>
    </row>
    <row r="761" spans="1:6" ht="15.75" customHeight="1">
      <c r="A761" s="14"/>
      <c r="B761" s="6"/>
      <c r="C761" s="6"/>
      <c r="D761" s="6"/>
      <c r="E761" s="6"/>
      <c r="F761" s="6"/>
    </row>
    <row r="762" spans="1:6" ht="15.75" customHeight="1">
      <c r="A762" s="14"/>
      <c r="B762" s="6"/>
      <c r="C762" s="6"/>
      <c r="D762" s="6"/>
      <c r="E762" s="6"/>
      <c r="F762" s="6"/>
    </row>
    <row r="763" spans="1:6" ht="15.75" customHeight="1">
      <c r="A763" s="14"/>
      <c r="B763" s="6"/>
      <c r="C763" s="6"/>
      <c r="D763" s="6"/>
      <c r="E763" s="6"/>
      <c r="F763" s="6"/>
    </row>
    <row r="764" spans="1:6" ht="15.75" customHeight="1">
      <c r="A764" s="14"/>
      <c r="B764" s="6"/>
      <c r="C764" s="6"/>
      <c r="D764" s="6"/>
      <c r="E764" s="6"/>
      <c r="F764" s="6"/>
    </row>
    <row r="765" spans="1:6" ht="15.75" customHeight="1">
      <c r="A765" s="14"/>
      <c r="B765" s="6"/>
      <c r="C765" s="6"/>
      <c r="D765" s="6"/>
      <c r="E765" s="6"/>
      <c r="F765" s="6"/>
    </row>
    <row r="766" spans="1:6" ht="15.75" customHeight="1">
      <c r="A766" s="14"/>
      <c r="B766" s="6"/>
      <c r="C766" s="6"/>
      <c r="D766" s="6"/>
      <c r="E766" s="6"/>
      <c r="F766" s="6"/>
    </row>
    <row r="767" spans="1:6" ht="15.75" customHeight="1">
      <c r="A767" s="14"/>
      <c r="B767" s="6"/>
      <c r="C767" s="6"/>
      <c r="D767" s="6"/>
      <c r="E767" s="6"/>
      <c r="F767" s="6"/>
    </row>
    <row r="768" spans="1:6" ht="15.75" customHeight="1">
      <c r="A768" s="14"/>
      <c r="B768" s="6"/>
      <c r="C768" s="6"/>
      <c r="D768" s="6"/>
      <c r="E768" s="6"/>
      <c r="F768" s="6"/>
    </row>
    <row r="769" spans="1:6" ht="15.75" customHeight="1">
      <c r="A769" s="14"/>
      <c r="B769" s="6"/>
      <c r="C769" s="6"/>
      <c r="D769" s="6"/>
      <c r="E769" s="6"/>
      <c r="F769" s="6"/>
    </row>
    <row r="770" spans="1:6" ht="15.75" customHeight="1">
      <c r="A770" s="14"/>
      <c r="B770" s="6"/>
      <c r="C770" s="6"/>
      <c r="D770" s="6"/>
      <c r="E770" s="6"/>
      <c r="F770" s="6"/>
    </row>
    <row r="771" spans="1:6" ht="15.75" customHeight="1">
      <c r="A771" s="14"/>
      <c r="B771" s="6"/>
      <c r="C771" s="6"/>
      <c r="D771" s="6"/>
      <c r="E771" s="6"/>
      <c r="F771" s="6"/>
    </row>
    <row r="772" spans="1:6" ht="15.75" customHeight="1">
      <c r="A772" s="14"/>
      <c r="B772" s="6"/>
      <c r="C772" s="6"/>
      <c r="D772" s="6"/>
      <c r="E772" s="6"/>
      <c r="F772" s="6"/>
    </row>
    <row r="773" spans="1:6" ht="15.75" customHeight="1">
      <c r="A773" s="14"/>
      <c r="B773" s="6"/>
      <c r="C773" s="6"/>
      <c r="D773" s="6"/>
      <c r="E773" s="6"/>
      <c r="F773" s="6"/>
    </row>
    <row r="774" spans="1:6" ht="15.75" customHeight="1">
      <c r="A774" s="14"/>
      <c r="B774" s="6"/>
      <c r="C774" s="6"/>
      <c r="D774" s="6"/>
      <c r="E774" s="6"/>
      <c r="F774" s="6"/>
    </row>
    <row r="775" spans="1:6" ht="15.75" customHeight="1">
      <c r="A775" s="14"/>
      <c r="B775" s="6"/>
      <c r="C775" s="6"/>
      <c r="D775" s="6"/>
      <c r="E775" s="6"/>
      <c r="F775" s="6"/>
    </row>
    <row r="776" spans="1:6" ht="15.75" customHeight="1">
      <c r="A776" s="14"/>
      <c r="B776" s="6"/>
      <c r="C776" s="6"/>
      <c r="D776" s="6"/>
      <c r="E776" s="6"/>
      <c r="F776" s="6"/>
    </row>
    <row r="777" spans="1:6" ht="15.75" customHeight="1">
      <c r="A777" s="14"/>
      <c r="B777" s="6"/>
      <c r="C777" s="6"/>
      <c r="D777" s="6"/>
      <c r="E777" s="6"/>
      <c r="F777" s="6"/>
    </row>
    <row r="778" spans="1:6" ht="15.75" customHeight="1">
      <c r="A778" s="14"/>
      <c r="B778" s="6"/>
      <c r="C778" s="6"/>
      <c r="D778" s="6"/>
      <c r="E778" s="6"/>
      <c r="F778" s="6"/>
    </row>
    <row r="779" spans="1:6" ht="15.75" customHeight="1">
      <c r="A779" s="14"/>
      <c r="B779" s="6"/>
      <c r="C779" s="6"/>
      <c r="D779" s="6"/>
      <c r="E779" s="6"/>
      <c r="F779" s="6"/>
    </row>
    <row r="780" spans="1:6" ht="15.75" customHeight="1">
      <c r="A780" s="14"/>
      <c r="B780" s="6"/>
      <c r="C780" s="6"/>
      <c r="D780" s="6"/>
      <c r="E780" s="6"/>
      <c r="F780" s="6"/>
    </row>
    <row r="781" spans="1:6" ht="15.75" customHeight="1">
      <c r="A781" s="14"/>
      <c r="B781" s="6"/>
      <c r="C781" s="6"/>
      <c r="D781" s="6"/>
      <c r="E781" s="6"/>
      <c r="F781" s="6"/>
    </row>
    <row r="782" spans="1:6" ht="15.75" customHeight="1">
      <c r="A782" s="14"/>
      <c r="B782" s="6"/>
      <c r="C782" s="6"/>
      <c r="D782" s="6"/>
      <c r="E782" s="6"/>
      <c r="F782" s="6"/>
    </row>
    <row r="783" spans="1:6" ht="15.75" customHeight="1">
      <c r="A783" s="14"/>
      <c r="B783" s="6"/>
      <c r="C783" s="6"/>
      <c r="D783" s="6"/>
      <c r="E783" s="6"/>
      <c r="F783" s="6"/>
    </row>
    <row r="784" spans="1:6" ht="15.75" customHeight="1">
      <c r="A784" s="14"/>
      <c r="B784" s="6"/>
      <c r="C784" s="6"/>
      <c r="D784" s="6"/>
      <c r="E784" s="6"/>
      <c r="F784" s="6"/>
    </row>
    <row r="785" spans="1:6" ht="15.75" customHeight="1">
      <c r="A785" s="14"/>
      <c r="B785" s="6"/>
      <c r="C785" s="6"/>
      <c r="D785" s="6"/>
      <c r="E785" s="6"/>
      <c r="F785" s="6"/>
    </row>
    <row r="786" spans="1:6" ht="15.75" customHeight="1">
      <c r="A786" s="14"/>
      <c r="B786" s="6"/>
      <c r="C786" s="6"/>
      <c r="D786" s="6"/>
      <c r="E786" s="6"/>
      <c r="F786" s="6"/>
    </row>
    <row r="787" spans="1:6" ht="15.75" customHeight="1">
      <c r="A787" s="14"/>
      <c r="B787" s="6"/>
      <c r="C787" s="6"/>
      <c r="D787" s="6"/>
      <c r="E787" s="6"/>
      <c r="F787" s="6"/>
    </row>
    <row r="788" spans="1:6" ht="15.75" customHeight="1">
      <c r="A788" s="14"/>
      <c r="B788" s="6"/>
      <c r="C788" s="6"/>
      <c r="D788" s="6"/>
      <c r="E788" s="6"/>
      <c r="F788" s="6"/>
    </row>
    <row r="789" spans="1:6" ht="15.75" customHeight="1">
      <c r="A789" s="14"/>
      <c r="B789" s="6"/>
      <c r="C789" s="6"/>
      <c r="D789" s="6"/>
      <c r="E789" s="6"/>
      <c r="F789" s="6"/>
    </row>
    <row r="790" spans="1:6" ht="15.75" customHeight="1">
      <c r="A790" s="14"/>
      <c r="B790" s="6"/>
      <c r="C790" s="6"/>
      <c r="D790" s="6"/>
      <c r="E790" s="6"/>
      <c r="F790" s="6"/>
    </row>
    <row r="791" spans="1:6" ht="15.75" customHeight="1">
      <c r="A791" s="14"/>
      <c r="B791" s="6"/>
      <c r="C791" s="6"/>
      <c r="D791" s="6"/>
      <c r="E791" s="6"/>
      <c r="F791" s="6"/>
    </row>
    <row r="792" spans="1:6" ht="15.75" customHeight="1">
      <c r="A792" s="14"/>
      <c r="B792" s="6"/>
      <c r="C792" s="6"/>
      <c r="D792" s="6"/>
      <c r="E792" s="6"/>
      <c r="F792" s="6"/>
    </row>
    <row r="793" spans="1:6" ht="15.75" customHeight="1">
      <c r="A793" s="14"/>
      <c r="B793" s="6"/>
      <c r="C793" s="6"/>
      <c r="D793" s="6"/>
      <c r="E793" s="6"/>
      <c r="F793" s="6"/>
    </row>
    <row r="794" spans="1:6" ht="15.75" customHeight="1">
      <c r="A794" s="14"/>
      <c r="B794" s="6"/>
      <c r="C794" s="6"/>
      <c r="D794" s="6"/>
      <c r="E794" s="6"/>
      <c r="F794" s="6"/>
    </row>
    <row r="795" spans="1:6" ht="15.75" customHeight="1">
      <c r="A795" s="14"/>
      <c r="B795" s="6"/>
      <c r="C795" s="6"/>
      <c r="D795" s="6"/>
      <c r="E795" s="6"/>
      <c r="F795" s="6"/>
    </row>
    <row r="796" spans="1:6" ht="15.75" customHeight="1">
      <c r="A796" s="14"/>
      <c r="B796" s="6"/>
      <c r="C796" s="6"/>
      <c r="D796" s="6"/>
      <c r="E796" s="6"/>
      <c r="F796" s="6"/>
    </row>
    <row r="797" spans="1:6" ht="15.75" customHeight="1">
      <c r="A797" s="14"/>
      <c r="B797" s="6"/>
      <c r="C797" s="6"/>
      <c r="D797" s="6"/>
      <c r="E797" s="6"/>
      <c r="F797" s="6"/>
    </row>
    <row r="798" spans="1:6" ht="15.75" customHeight="1">
      <c r="A798" s="14"/>
      <c r="B798" s="6"/>
      <c r="C798" s="6"/>
      <c r="D798" s="6"/>
      <c r="E798" s="6"/>
      <c r="F798" s="6"/>
    </row>
    <row r="799" spans="1:6" ht="15.75" customHeight="1">
      <c r="A799" s="14"/>
      <c r="B799" s="6"/>
      <c r="C799" s="6"/>
      <c r="D799" s="6"/>
      <c r="E799" s="6"/>
      <c r="F799" s="6"/>
    </row>
    <row r="800" spans="1:6" ht="15.75" customHeight="1">
      <c r="A800" s="14"/>
      <c r="B800" s="6"/>
      <c r="C800" s="6"/>
      <c r="D800" s="6"/>
      <c r="E800" s="6"/>
      <c r="F800" s="6"/>
    </row>
    <row r="801" spans="1:6" ht="15.75" customHeight="1">
      <c r="A801" s="14"/>
      <c r="B801" s="6"/>
      <c r="C801" s="6"/>
      <c r="D801" s="6"/>
      <c r="E801" s="6"/>
      <c r="F801" s="6"/>
    </row>
    <row r="802" spans="1:6" ht="15.75" customHeight="1">
      <c r="A802" s="14"/>
      <c r="B802" s="6"/>
      <c r="C802" s="6"/>
      <c r="D802" s="6"/>
      <c r="E802" s="6"/>
      <c r="F802" s="6"/>
    </row>
    <row r="803" spans="1:6" ht="15.75" customHeight="1">
      <c r="A803" s="14"/>
      <c r="B803" s="6"/>
      <c r="C803" s="6"/>
      <c r="D803" s="6"/>
      <c r="E803" s="6"/>
      <c r="F803" s="6"/>
    </row>
    <row r="804" spans="1:6" ht="15.75" customHeight="1">
      <c r="A804" s="14"/>
      <c r="B804" s="6"/>
      <c r="C804" s="6"/>
      <c r="D804" s="6"/>
      <c r="E804" s="6"/>
      <c r="F804" s="6"/>
    </row>
    <row r="805" spans="1:6" ht="15.75" customHeight="1">
      <c r="A805" s="14"/>
      <c r="B805" s="6"/>
      <c r="C805" s="6"/>
      <c r="D805" s="6"/>
      <c r="E805" s="6"/>
      <c r="F805" s="6"/>
    </row>
    <row r="806" spans="1:6" ht="15.75" customHeight="1">
      <c r="A806" s="14"/>
      <c r="B806" s="6"/>
      <c r="C806" s="6"/>
      <c r="D806" s="6"/>
      <c r="E806" s="6"/>
      <c r="F806" s="6"/>
    </row>
    <row r="807" spans="1:6" ht="15.75" customHeight="1">
      <c r="A807" s="14"/>
      <c r="B807" s="6"/>
      <c r="C807" s="6"/>
      <c r="D807" s="6"/>
      <c r="E807" s="6"/>
      <c r="F807" s="6"/>
    </row>
    <row r="808" spans="1:6" ht="15.75" customHeight="1">
      <c r="A808" s="14"/>
      <c r="B808" s="6"/>
      <c r="C808" s="6"/>
      <c r="D808" s="6"/>
      <c r="E808" s="6"/>
      <c r="F808" s="6"/>
    </row>
    <row r="809" spans="1:6" ht="15.75" customHeight="1">
      <c r="A809" s="14"/>
      <c r="B809" s="6"/>
      <c r="C809" s="6"/>
      <c r="D809" s="6"/>
      <c r="E809" s="6"/>
      <c r="F809" s="6"/>
    </row>
    <row r="810" spans="1:6" ht="15.75" customHeight="1">
      <c r="A810" s="14"/>
      <c r="B810" s="6"/>
      <c r="C810" s="6"/>
      <c r="D810" s="6"/>
      <c r="E810" s="6"/>
      <c r="F810" s="6"/>
    </row>
    <row r="811" spans="1:6" ht="15.75" customHeight="1">
      <c r="A811" s="14"/>
      <c r="B811" s="6"/>
      <c r="C811" s="6"/>
      <c r="D811" s="6"/>
      <c r="E811" s="6"/>
      <c r="F811" s="6"/>
    </row>
    <row r="812" spans="1:6" ht="15.75" customHeight="1">
      <c r="A812" s="14"/>
      <c r="B812" s="6"/>
      <c r="C812" s="6"/>
      <c r="D812" s="6"/>
      <c r="E812" s="6"/>
      <c r="F812" s="6"/>
    </row>
    <row r="813" spans="1:6" ht="15.75" customHeight="1">
      <c r="A813" s="14"/>
      <c r="B813" s="6"/>
      <c r="C813" s="6"/>
      <c r="D813" s="6"/>
      <c r="E813" s="6"/>
      <c r="F813" s="6"/>
    </row>
    <row r="814" spans="1:6" ht="15.75" customHeight="1">
      <c r="A814" s="14"/>
      <c r="B814" s="6"/>
      <c r="C814" s="6"/>
      <c r="D814" s="6"/>
      <c r="E814" s="6"/>
      <c r="F814" s="6"/>
    </row>
    <row r="815" spans="1:6" ht="15.75" customHeight="1">
      <c r="A815" s="14"/>
      <c r="B815" s="6"/>
      <c r="C815" s="6"/>
      <c r="D815" s="6"/>
      <c r="E815" s="6"/>
      <c r="F815" s="6"/>
    </row>
    <row r="816" spans="1:6" ht="15.75" customHeight="1">
      <c r="A816" s="14"/>
      <c r="B816" s="6"/>
      <c r="C816" s="6"/>
      <c r="D816" s="6"/>
      <c r="E816" s="6"/>
      <c r="F816" s="6"/>
    </row>
    <row r="817" spans="1:6" ht="15.75" customHeight="1">
      <c r="A817" s="14"/>
      <c r="B817" s="6"/>
      <c r="C817" s="6"/>
      <c r="D817" s="6"/>
      <c r="E817" s="6"/>
      <c r="F817" s="6"/>
    </row>
    <row r="818" spans="1:6" ht="15.75" customHeight="1">
      <c r="A818" s="14"/>
      <c r="B818" s="6"/>
      <c r="C818" s="6"/>
      <c r="D818" s="6"/>
      <c r="E818" s="6"/>
      <c r="F818" s="6"/>
    </row>
    <row r="819" spans="1:6" ht="15.75" customHeight="1">
      <c r="A819" s="14"/>
      <c r="B819" s="6"/>
      <c r="C819" s="6"/>
      <c r="D819" s="6"/>
      <c r="E819" s="6"/>
      <c r="F819" s="6"/>
    </row>
    <row r="820" spans="1:6" ht="15.75" customHeight="1">
      <c r="A820" s="14"/>
      <c r="B820" s="6"/>
      <c r="C820" s="6"/>
      <c r="D820" s="6"/>
      <c r="E820" s="6"/>
      <c r="F820" s="6"/>
    </row>
    <row r="821" spans="1:6" ht="15.75" customHeight="1">
      <c r="A821" s="14"/>
      <c r="B821" s="6"/>
      <c r="C821" s="6"/>
      <c r="D821" s="6"/>
      <c r="E821" s="6"/>
      <c r="F821" s="6"/>
    </row>
    <row r="822" spans="1:6" ht="15.75" customHeight="1">
      <c r="A822" s="14"/>
      <c r="B822" s="6"/>
      <c r="C822" s="6"/>
      <c r="D822" s="6"/>
      <c r="E822" s="6"/>
      <c r="F822" s="6"/>
    </row>
    <row r="823" spans="1:6" ht="15.75" customHeight="1">
      <c r="A823" s="14"/>
      <c r="B823" s="6"/>
      <c r="C823" s="6"/>
      <c r="D823" s="6"/>
      <c r="E823" s="6"/>
      <c r="F823" s="6"/>
    </row>
    <row r="824" spans="1:6" ht="15.75" customHeight="1">
      <c r="A824" s="14"/>
      <c r="B824" s="6"/>
      <c r="C824" s="6"/>
      <c r="D824" s="6"/>
      <c r="E824" s="6"/>
      <c r="F824" s="6"/>
    </row>
    <row r="825" spans="1:6" ht="15.75" customHeight="1">
      <c r="A825" s="14"/>
      <c r="B825" s="6"/>
      <c r="C825" s="6"/>
      <c r="D825" s="6"/>
      <c r="E825" s="6"/>
      <c r="F825" s="6"/>
    </row>
    <row r="826" spans="1:6" ht="15.75" customHeight="1">
      <c r="A826" s="14"/>
      <c r="B826" s="6"/>
      <c r="C826" s="6"/>
      <c r="D826" s="6"/>
      <c r="E826" s="6"/>
      <c r="F826" s="6"/>
    </row>
    <row r="827" spans="1:6" ht="15.75" customHeight="1">
      <c r="A827" s="14"/>
      <c r="B827" s="6"/>
      <c r="C827" s="6"/>
      <c r="D827" s="6"/>
      <c r="E827" s="6"/>
      <c r="F827" s="6"/>
    </row>
    <row r="828" spans="1:6" ht="15.75" customHeight="1">
      <c r="A828" s="14"/>
      <c r="B828" s="6"/>
      <c r="C828" s="6"/>
      <c r="D828" s="6"/>
      <c r="E828" s="6"/>
      <c r="F828" s="6"/>
    </row>
    <row r="829" spans="1:6" ht="15.75" customHeight="1">
      <c r="A829" s="14"/>
      <c r="B829" s="6"/>
      <c r="C829" s="6"/>
      <c r="D829" s="6"/>
      <c r="E829" s="6"/>
      <c r="F829" s="6"/>
    </row>
    <row r="830" spans="1:6" ht="15.75" customHeight="1">
      <c r="A830" s="14"/>
      <c r="B830" s="6"/>
      <c r="C830" s="6"/>
      <c r="D830" s="6"/>
      <c r="E830" s="6"/>
      <c r="F830" s="6"/>
    </row>
    <row r="831" spans="1:6" ht="15.75" customHeight="1">
      <c r="A831" s="14"/>
      <c r="B831" s="6"/>
      <c r="C831" s="6"/>
      <c r="D831" s="6"/>
      <c r="E831" s="6"/>
      <c r="F831" s="6"/>
    </row>
    <row r="832" spans="1:6" ht="15.75" customHeight="1">
      <c r="A832" s="14"/>
      <c r="B832" s="6"/>
      <c r="C832" s="6"/>
      <c r="D832" s="6"/>
      <c r="E832" s="6"/>
      <c r="F832" s="6"/>
    </row>
    <row r="833" spans="1:6" ht="15.75" customHeight="1">
      <c r="A833" s="14"/>
      <c r="B833" s="6"/>
      <c r="C833" s="6"/>
      <c r="D833" s="6"/>
      <c r="E833" s="6"/>
      <c r="F833" s="6"/>
    </row>
    <row r="834" spans="1:6" ht="15.75" customHeight="1">
      <c r="A834" s="14"/>
      <c r="B834" s="6"/>
      <c r="C834" s="6"/>
      <c r="D834" s="6"/>
      <c r="E834" s="6"/>
      <c r="F834" s="6"/>
    </row>
    <row r="835" spans="1:6" ht="15.75" customHeight="1">
      <c r="A835" s="14"/>
      <c r="B835" s="6"/>
      <c r="C835" s="6"/>
      <c r="D835" s="6"/>
      <c r="E835" s="6"/>
      <c r="F835" s="6"/>
    </row>
    <row r="836" spans="1:6" ht="15.75" customHeight="1">
      <c r="A836" s="14"/>
      <c r="B836" s="6"/>
      <c r="C836" s="6"/>
      <c r="D836" s="6"/>
      <c r="E836" s="6"/>
      <c r="F836" s="6"/>
    </row>
    <row r="837" spans="1:6" ht="15.75" customHeight="1">
      <c r="A837" s="14"/>
      <c r="B837" s="6"/>
      <c r="C837" s="6"/>
      <c r="D837" s="6"/>
      <c r="E837" s="6"/>
      <c r="F837" s="6"/>
    </row>
    <row r="838" spans="1:6" ht="15.75" customHeight="1">
      <c r="A838" s="14"/>
      <c r="B838" s="6"/>
      <c r="C838" s="6"/>
      <c r="D838" s="6"/>
      <c r="E838" s="6"/>
      <c r="F838" s="6"/>
    </row>
    <row r="839" spans="1:6" ht="15.75" customHeight="1">
      <c r="A839" s="14"/>
      <c r="B839" s="6"/>
      <c r="C839" s="6"/>
      <c r="D839" s="6"/>
      <c r="E839" s="6"/>
      <c r="F839" s="6"/>
    </row>
    <row r="840" spans="1:6" ht="15.75" customHeight="1">
      <c r="A840" s="14"/>
      <c r="B840" s="6"/>
      <c r="C840" s="6"/>
      <c r="D840" s="6"/>
      <c r="E840" s="6"/>
      <c r="F840" s="6"/>
    </row>
    <row r="841" spans="1:6" ht="15.75" customHeight="1">
      <c r="A841" s="14"/>
      <c r="B841" s="6"/>
      <c r="C841" s="6"/>
      <c r="D841" s="6"/>
      <c r="E841" s="6"/>
      <c r="F841" s="6"/>
    </row>
    <row r="842" spans="1:6" ht="15.75" customHeight="1">
      <c r="A842" s="14"/>
      <c r="B842" s="6"/>
      <c r="C842" s="6"/>
      <c r="D842" s="6"/>
      <c r="E842" s="6"/>
      <c r="F842" s="6"/>
    </row>
    <row r="843" spans="1:6" ht="15.75" customHeight="1">
      <c r="A843" s="14"/>
      <c r="B843" s="6"/>
      <c r="C843" s="6"/>
      <c r="D843" s="6"/>
      <c r="E843" s="6"/>
      <c r="F843" s="6"/>
    </row>
    <row r="844" spans="1:6" ht="15.75" customHeight="1">
      <c r="A844" s="14"/>
      <c r="B844" s="6"/>
      <c r="C844" s="6"/>
      <c r="D844" s="6"/>
      <c r="E844" s="6"/>
      <c r="F844" s="6"/>
    </row>
    <row r="845" spans="1:6" ht="15.75" customHeight="1">
      <c r="A845" s="14"/>
      <c r="B845" s="6"/>
      <c r="C845" s="6"/>
      <c r="D845" s="6"/>
      <c r="E845" s="6"/>
      <c r="F845" s="6"/>
    </row>
    <row r="846" spans="1:6" ht="15.75" customHeight="1">
      <c r="A846" s="14"/>
      <c r="B846" s="6"/>
      <c r="C846" s="6"/>
      <c r="D846" s="6"/>
      <c r="E846" s="6"/>
      <c r="F846" s="6"/>
    </row>
    <row r="847" spans="1:6" ht="15.75" customHeight="1">
      <c r="A847" s="14"/>
      <c r="B847" s="6"/>
      <c r="C847" s="6"/>
      <c r="D847" s="6"/>
      <c r="E847" s="6"/>
      <c r="F847" s="6"/>
    </row>
    <row r="848" spans="1:6" ht="15.75" customHeight="1">
      <c r="A848" s="14"/>
      <c r="B848" s="6"/>
      <c r="C848" s="6"/>
      <c r="D848" s="6"/>
      <c r="E848" s="6"/>
      <c r="F848" s="6"/>
    </row>
    <row r="849" spans="1:6" ht="15.75" customHeight="1">
      <c r="A849" s="14"/>
      <c r="B849" s="6"/>
      <c r="C849" s="6"/>
      <c r="D849" s="6"/>
      <c r="E849" s="6"/>
      <c r="F849" s="6"/>
    </row>
    <row r="850" spans="1:6" ht="15.75" customHeight="1">
      <c r="A850" s="14"/>
      <c r="B850" s="6"/>
      <c r="C850" s="6"/>
      <c r="D850" s="6"/>
      <c r="E850" s="6"/>
      <c r="F850" s="6"/>
    </row>
    <row r="851" spans="1:6" ht="15.75" customHeight="1">
      <c r="A851" s="14"/>
      <c r="B851" s="6"/>
      <c r="C851" s="6"/>
      <c r="D851" s="6"/>
      <c r="E851" s="6"/>
      <c r="F851" s="6"/>
    </row>
    <row r="852" spans="1:6" ht="15.75" customHeight="1">
      <c r="A852" s="14"/>
      <c r="B852" s="6"/>
      <c r="C852" s="6"/>
      <c r="D852" s="6"/>
      <c r="E852" s="6"/>
      <c r="F852" s="6"/>
    </row>
    <row r="853" spans="1:6" ht="15.75" customHeight="1">
      <c r="A853" s="14"/>
      <c r="B853" s="6"/>
      <c r="C853" s="6"/>
      <c r="D853" s="6"/>
      <c r="E853" s="6"/>
      <c r="F853" s="6"/>
    </row>
    <row r="854" spans="1:6" ht="15.75" customHeight="1">
      <c r="A854" s="14"/>
      <c r="B854" s="6"/>
      <c r="C854" s="6"/>
      <c r="D854" s="6"/>
      <c r="E854" s="6"/>
      <c r="F854" s="6"/>
    </row>
    <row r="855" spans="1:6" ht="15.75" customHeight="1">
      <c r="A855" s="14"/>
      <c r="B855" s="6"/>
      <c r="C855" s="6"/>
      <c r="D855" s="6"/>
      <c r="E855" s="6"/>
      <c r="F855" s="6"/>
    </row>
    <row r="856" spans="1:6" ht="15.75" customHeight="1">
      <c r="A856" s="14"/>
      <c r="B856" s="6"/>
      <c r="C856" s="6"/>
      <c r="D856" s="6"/>
      <c r="E856" s="6"/>
      <c r="F856" s="6"/>
    </row>
    <row r="857" spans="1:6" ht="15.75" customHeight="1">
      <c r="A857" s="14"/>
      <c r="B857" s="6"/>
      <c r="C857" s="6"/>
      <c r="D857" s="6"/>
      <c r="E857" s="6"/>
      <c r="F857" s="6"/>
    </row>
    <row r="858" spans="1:6" ht="15.75" customHeight="1">
      <c r="A858" s="14"/>
      <c r="B858" s="6"/>
      <c r="C858" s="6"/>
      <c r="D858" s="6"/>
      <c r="E858" s="6"/>
      <c r="F858" s="6"/>
    </row>
    <row r="859" spans="1:6" ht="15.75" customHeight="1">
      <c r="A859" s="14"/>
      <c r="B859" s="6"/>
      <c r="C859" s="6"/>
      <c r="D859" s="6"/>
      <c r="E859" s="6"/>
      <c r="F859" s="6"/>
    </row>
    <row r="860" spans="1:6" ht="15.75" customHeight="1">
      <c r="A860" s="14"/>
      <c r="B860" s="6"/>
      <c r="C860" s="6"/>
      <c r="D860" s="6"/>
      <c r="E860" s="6"/>
      <c r="F860" s="6"/>
    </row>
    <row r="861" spans="1:6" ht="15.75" customHeight="1">
      <c r="A861" s="14"/>
      <c r="B861" s="6"/>
      <c r="C861" s="6"/>
      <c r="D861" s="6"/>
      <c r="E861" s="6"/>
      <c r="F861" s="6"/>
    </row>
    <row r="862" spans="1:6" ht="15.75" customHeight="1">
      <c r="A862" s="14"/>
      <c r="B862" s="6"/>
      <c r="C862" s="6"/>
      <c r="D862" s="6"/>
      <c r="E862" s="6"/>
      <c r="F862" s="6"/>
    </row>
    <row r="863" spans="1:6" ht="15.75" customHeight="1">
      <c r="A863" s="14"/>
      <c r="B863" s="6"/>
      <c r="C863" s="6"/>
      <c r="D863" s="6"/>
      <c r="E863" s="6"/>
      <c r="F863" s="6"/>
    </row>
    <row r="864" spans="1:6" ht="15.75" customHeight="1">
      <c r="A864" s="14"/>
      <c r="B864" s="6"/>
      <c r="C864" s="6"/>
      <c r="D864" s="6"/>
      <c r="E864" s="6"/>
      <c r="F864" s="6"/>
    </row>
    <row r="865" spans="1:6" ht="15.75" customHeight="1">
      <c r="A865" s="14"/>
      <c r="B865" s="6"/>
      <c r="C865" s="6"/>
      <c r="D865" s="6"/>
      <c r="E865" s="6"/>
      <c r="F865" s="6"/>
    </row>
    <row r="866" spans="1:6" ht="15.75" customHeight="1">
      <c r="A866" s="14"/>
      <c r="B866" s="6"/>
      <c r="C866" s="6"/>
      <c r="D866" s="6"/>
      <c r="E866" s="6"/>
      <c r="F866" s="6"/>
    </row>
    <row r="867" spans="1:6" ht="15.75" customHeight="1">
      <c r="A867" s="14"/>
      <c r="B867" s="6"/>
      <c r="C867" s="6"/>
      <c r="D867" s="6"/>
      <c r="E867" s="6"/>
      <c r="F867" s="6"/>
    </row>
    <row r="868" spans="1:6" ht="15.75" customHeight="1">
      <c r="A868" s="14"/>
      <c r="B868" s="6"/>
      <c r="C868" s="6"/>
      <c r="D868" s="6"/>
      <c r="E868" s="6"/>
      <c r="F868" s="6"/>
    </row>
    <row r="869" spans="1:6" ht="15.75" customHeight="1">
      <c r="A869" s="14"/>
      <c r="B869" s="6"/>
      <c r="C869" s="6"/>
      <c r="D869" s="6"/>
      <c r="E869" s="6"/>
      <c r="F869" s="6"/>
    </row>
    <row r="870" spans="1:6" ht="15.75" customHeight="1">
      <c r="A870" s="14"/>
      <c r="B870" s="6"/>
      <c r="C870" s="6"/>
      <c r="D870" s="6"/>
      <c r="E870" s="6"/>
      <c r="F870" s="6"/>
    </row>
    <row r="871" spans="1:6" ht="15.75" customHeight="1">
      <c r="A871" s="14"/>
      <c r="B871" s="6"/>
      <c r="C871" s="6"/>
      <c r="D871" s="6"/>
      <c r="E871" s="6"/>
      <c r="F871" s="6"/>
    </row>
    <row r="872" spans="1:6" ht="15.75" customHeight="1">
      <c r="A872" s="14"/>
      <c r="B872" s="6"/>
      <c r="C872" s="6"/>
      <c r="D872" s="6"/>
      <c r="E872" s="6"/>
      <c r="F872" s="6"/>
    </row>
    <row r="873" spans="1:6" ht="15.75" customHeight="1">
      <c r="A873" s="14"/>
      <c r="B873" s="6"/>
      <c r="C873" s="6"/>
      <c r="D873" s="6"/>
      <c r="E873" s="6"/>
      <c r="F873" s="6"/>
    </row>
    <row r="874" spans="1:6" ht="15.75" customHeight="1">
      <c r="A874" s="14"/>
      <c r="B874" s="6"/>
      <c r="C874" s="6"/>
      <c r="D874" s="6"/>
      <c r="E874" s="6"/>
      <c r="F874" s="6"/>
    </row>
    <row r="875" spans="1:6" ht="15.75" customHeight="1">
      <c r="A875" s="14"/>
      <c r="B875" s="6"/>
      <c r="C875" s="6"/>
      <c r="D875" s="6"/>
      <c r="E875" s="6"/>
      <c r="F875" s="6"/>
    </row>
    <row r="876" spans="1:6" ht="15.75" customHeight="1">
      <c r="A876" s="14"/>
      <c r="B876" s="6"/>
      <c r="C876" s="6"/>
      <c r="D876" s="6"/>
      <c r="E876" s="6"/>
      <c r="F876" s="6"/>
    </row>
    <row r="877" spans="1:6" ht="15.75" customHeight="1">
      <c r="A877" s="14"/>
      <c r="B877" s="6"/>
      <c r="C877" s="6"/>
      <c r="D877" s="6"/>
      <c r="E877" s="6"/>
      <c r="F877" s="6"/>
    </row>
    <row r="878" spans="1:6" ht="15.75" customHeight="1">
      <c r="A878" s="14"/>
      <c r="B878" s="6"/>
      <c r="C878" s="6"/>
      <c r="D878" s="6"/>
      <c r="E878" s="6"/>
      <c r="F878" s="6"/>
    </row>
    <row r="879" spans="1:6" ht="15.75" customHeight="1">
      <c r="A879" s="14"/>
      <c r="B879" s="6"/>
      <c r="C879" s="6"/>
      <c r="D879" s="6"/>
      <c r="E879" s="6"/>
      <c r="F879" s="6"/>
    </row>
    <row r="880" spans="1:6" ht="15.75" customHeight="1">
      <c r="A880" s="14"/>
      <c r="B880" s="6"/>
      <c r="C880" s="6"/>
      <c r="D880" s="6"/>
      <c r="E880" s="6"/>
      <c r="F880" s="6"/>
    </row>
    <row r="881" spans="1:6" ht="15.75" customHeight="1">
      <c r="A881" s="14"/>
      <c r="B881" s="6"/>
      <c r="C881" s="6"/>
      <c r="D881" s="6"/>
      <c r="E881" s="6"/>
      <c r="F881" s="6"/>
    </row>
    <row r="882" spans="1:6" ht="15.75" customHeight="1">
      <c r="A882" s="14"/>
      <c r="B882" s="6"/>
      <c r="C882" s="6"/>
      <c r="D882" s="6"/>
      <c r="E882" s="6"/>
      <c r="F882" s="6"/>
    </row>
    <row r="883" spans="1:6" ht="15.75" customHeight="1">
      <c r="A883" s="14"/>
      <c r="B883" s="6"/>
      <c r="C883" s="6"/>
      <c r="D883" s="6"/>
      <c r="E883" s="6"/>
      <c r="F883" s="6"/>
    </row>
    <row r="884" spans="1:6" ht="15.75" customHeight="1">
      <c r="A884" s="14"/>
      <c r="B884" s="6"/>
      <c r="C884" s="6"/>
      <c r="D884" s="6"/>
      <c r="E884" s="6"/>
      <c r="F884" s="6"/>
    </row>
    <row r="885" spans="1:6" ht="15.75" customHeight="1">
      <c r="A885" s="14"/>
      <c r="B885" s="6"/>
      <c r="C885" s="6"/>
      <c r="D885" s="6"/>
      <c r="E885" s="6"/>
      <c r="F885" s="6"/>
    </row>
    <row r="886" spans="1:6" ht="15.75" customHeight="1">
      <c r="A886" s="14"/>
      <c r="B886" s="6"/>
      <c r="C886" s="6"/>
      <c r="D886" s="6"/>
      <c r="E886" s="6"/>
      <c r="F886" s="6"/>
    </row>
    <row r="887" spans="1:6" ht="15.75" customHeight="1">
      <c r="A887" s="14"/>
      <c r="B887" s="6"/>
      <c r="C887" s="6"/>
      <c r="D887" s="6"/>
      <c r="E887" s="6"/>
      <c r="F887" s="6"/>
    </row>
    <row r="888" spans="1:6" ht="15.75" customHeight="1">
      <c r="A888" s="14"/>
      <c r="B888" s="6"/>
      <c r="C888" s="6"/>
      <c r="D888" s="6"/>
      <c r="E888" s="6"/>
      <c r="F888" s="6"/>
    </row>
    <row r="889" spans="1:6" ht="15.75" customHeight="1">
      <c r="A889" s="14"/>
      <c r="B889" s="6"/>
      <c r="C889" s="6"/>
      <c r="D889" s="6"/>
      <c r="E889" s="6"/>
      <c r="F889" s="6"/>
    </row>
    <row r="890" spans="1:6" ht="15.75" customHeight="1">
      <c r="A890" s="14"/>
      <c r="B890" s="6"/>
      <c r="C890" s="6"/>
      <c r="D890" s="6"/>
      <c r="E890" s="6"/>
      <c r="F890" s="6"/>
    </row>
    <row r="891" spans="1:6" ht="15.75" customHeight="1">
      <c r="A891" s="14"/>
      <c r="B891" s="6"/>
      <c r="C891" s="6"/>
      <c r="D891" s="6"/>
      <c r="E891" s="6"/>
      <c r="F891" s="6"/>
    </row>
    <row r="892" spans="1:6" ht="15.75" customHeight="1">
      <c r="A892" s="14"/>
      <c r="B892" s="6"/>
      <c r="C892" s="6"/>
      <c r="D892" s="6"/>
      <c r="E892" s="6"/>
      <c r="F892" s="6"/>
    </row>
    <row r="893" spans="1:6" ht="15.75" customHeight="1">
      <c r="A893" s="14"/>
      <c r="B893" s="6"/>
      <c r="C893" s="6"/>
      <c r="D893" s="6"/>
      <c r="E893" s="6"/>
      <c r="F893" s="6"/>
    </row>
    <row r="894" spans="1:6" ht="15.75" customHeight="1">
      <c r="A894" s="14"/>
      <c r="B894" s="6"/>
      <c r="C894" s="6"/>
      <c r="D894" s="6"/>
      <c r="E894" s="6"/>
      <c r="F894" s="6"/>
    </row>
    <row r="895" spans="1:6" ht="15.75" customHeight="1">
      <c r="A895" s="14"/>
      <c r="B895" s="6"/>
      <c r="C895" s="6"/>
      <c r="D895" s="6"/>
      <c r="E895" s="6"/>
      <c r="F895" s="6"/>
    </row>
    <row r="896" spans="1:6" ht="15.75" customHeight="1">
      <c r="A896" s="14"/>
      <c r="B896" s="6"/>
      <c r="C896" s="6"/>
      <c r="D896" s="6"/>
      <c r="E896" s="6"/>
      <c r="F896" s="6"/>
    </row>
    <row r="897" spans="1:6" ht="15.75" customHeight="1">
      <c r="A897" s="14"/>
      <c r="B897" s="6"/>
      <c r="C897" s="6"/>
      <c r="D897" s="6"/>
      <c r="E897" s="6"/>
      <c r="F897" s="6"/>
    </row>
    <row r="898" spans="1:6" ht="15.75" customHeight="1">
      <c r="A898" s="14"/>
      <c r="B898" s="6"/>
      <c r="C898" s="6"/>
      <c r="D898" s="6"/>
      <c r="E898" s="6"/>
      <c r="F898" s="6"/>
    </row>
    <row r="899" spans="1:6" ht="15.75" customHeight="1">
      <c r="A899" s="14"/>
      <c r="B899" s="6"/>
      <c r="C899" s="6"/>
      <c r="D899" s="6"/>
      <c r="E899" s="6"/>
      <c r="F899" s="6"/>
    </row>
    <row r="900" spans="1:6" ht="15.75" customHeight="1">
      <c r="A900" s="14"/>
      <c r="B900" s="6"/>
      <c r="C900" s="6"/>
      <c r="D900" s="6"/>
      <c r="E900" s="6"/>
      <c r="F900" s="6"/>
    </row>
    <row r="901" spans="1:6" ht="15.75" customHeight="1">
      <c r="A901" s="14"/>
      <c r="B901" s="6"/>
      <c r="C901" s="6"/>
      <c r="D901" s="6"/>
      <c r="E901" s="6"/>
      <c r="F901" s="6"/>
    </row>
    <row r="902" spans="1:6" ht="15.75" customHeight="1">
      <c r="A902" s="14"/>
      <c r="B902" s="6"/>
      <c r="C902" s="6"/>
      <c r="D902" s="6"/>
      <c r="E902" s="6"/>
      <c r="F902" s="6"/>
    </row>
    <row r="903" spans="1:6" ht="15.75" customHeight="1">
      <c r="A903" s="14"/>
      <c r="B903" s="6"/>
      <c r="C903" s="6"/>
      <c r="D903" s="6"/>
      <c r="E903" s="6"/>
      <c r="F903" s="6"/>
    </row>
    <row r="904" spans="1:6" ht="15.75" customHeight="1">
      <c r="A904" s="14"/>
      <c r="B904" s="6"/>
      <c r="C904" s="6"/>
      <c r="D904" s="6"/>
      <c r="E904" s="6"/>
      <c r="F904" s="6"/>
    </row>
    <row r="905" spans="1:6" ht="15.75" customHeight="1">
      <c r="A905" s="14"/>
      <c r="B905" s="6"/>
      <c r="C905" s="6"/>
      <c r="D905" s="6"/>
      <c r="E905" s="6"/>
      <c r="F905" s="6"/>
    </row>
    <row r="906" spans="1:6" ht="15.75" customHeight="1">
      <c r="A906" s="14"/>
      <c r="B906" s="6"/>
      <c r="C906" s="6"/>
      <c r="D906" s="6"/>
      <c r="E906" s="6"/>
      <c r="F906" s="6"/>
    </row>
    <row r="907" spans="1:6" ht="15.75" customHeight="1">
      <c r="A907" s="14"/>
      <c r="B907" s="6"/>
      <c r="C907" s="6"/>
      <c r="D907" s="6"/>
      <c r="E907" s="6"/>
      <c r="F907" s="6"/>
    </row>
    <row r="908" spans="1:6" ht="15.75" customHeight="1">
      <c r="A908" s="14"/>
      <c r="B908" s="6"/>
      <c r="C908" s="6"/>
      <c r="D908" s="6"/>
      <c r="E908" s="6"/>
      <c r="F908" s="6"/>
    </row>
    <row r="909" spans="1:6" ht="15.75" customHeight="1">
      <c r="A909" s="14"/>
      <c r="B909" s="6"/>
      <c r="C909" s="6"/>
      <c r="D909" s="6"/>
      <c r="E909" s="6"/>
      <c r="F909" s="6"/>
    </row>
    <row r="910" spans="1:6" ht="15.75" customHeight="1">
      <c r="A910" s="14"/>
      <c r="B910" s="6"/>
      <c r="C910" s="6"/>
      <c r="D910" s="6"/>
      <c r="E910" s="6"/>
      <c r="F910" s="6"/>
    </row>
    <row r="911" spans="1:6" ht="15.75" customHeight="1">
      <c r="A911" s="14"/>
      <c r="B911" s="6"/>
      <c r="C911" s="6"/>
      <c r="D911" s="6"/>
      <c r="E911" s="6"/>
      <c r="F911" s="6"/>
    </row>
    <row r="912" spans="1:6" ht="15.75" customHeight="1">
      <c r="A912" s="14"/>
      <c r="B912" s="6"/>
      <c r="C912" s="6"/>
      <c r="D912" s="6"/>
      <c r="E912" s="6"/>
      <c r="F912" s="6"/>
    </row>
    <row r="913" spans="1:6" ht="15.75" customHeight="1">
      <c r="A913" s="14"/>
      <c r="B913" s="6"/>
      <c r="C913" s="6"/>
      <c r="D913" s="6"/>
      <c r="E913" s="6"/>
      <c r="F913" s="6"/>
    </row>
    <row r="914" spans="1:6" ht="15.75" customHeight="1">
      <c r="A914" s="14"/>
      <c r="B914" s="6"/>
      <c r="C914" s="6"/>
      <c r="D914" s="6"/>
      <c r="E914" s="6"/>
      <c r="F914" s="6"/>
    </row>
    <row r="915" spans="1:6" ht="15.75" customHeight="1">
      <c r="A915" s="14"/>
      <c r="B915" s="6"/>
      <c r="C915" s="6"/>
      <c r="D915" s="6"/>
      <c r="E915" s="6"/>
      <c r="F915" s="6"/>
    </row>
    <row r="916" spans="1:6" ht="15.75" customHeight="1">
      <c r="A916" s="14"/>
      <c r="B916" s="6"/>
      <c r="C916" s="6"/>
      <c r="D916" s="6"/>
      <c r="E916" s="6"/>
      <c r="F916" s="6"/>
    </row>
    <row r="917" spans="1:6" ht="15.75" customHeight="1">
      <c r="A917" s="14"/>
      <c r="B917" s="6"/>
      <c r="C917" s="6"/>
      <c r="D917" s="6"/>
      <c r="E917" s="6"/>
      <c r="F917" s="6"/>
    </row>
    <row r="918" spans="1:6" ht="15.75" customHeight="1">
      <c r="A918" s="14"/>
      <c r="B918" s="6"/>
      <c r="C918" s="6"/>
      <c r="D918" s="6"/>
      <c r="E918" s="6"/>
      <c r="F918" s="6"/>
    </row>
    <row r="919" spans="1:6" ht="15.75" customHeight="1">
      <c r="A919" s="14"/>
      <c r="B919" s="6"/>
      <c r="C919" s="6"/>
      <c r="D919" s="6"/>
      <c r="E919" s="6"/>
      <c r="F919" s="6"/>
    </row>
    <row r="920" spans="1:6" ht="15.75" customHeight="1">
      <c r="A920" s="14"/>
      <c r="B920" s="6"/>
      <c r="C920" s="6"/>
      <c r="D920" s="6"/>
      <c r="E920" s="6"/>
      <c r="F920" s="6"/>
    </row>
    <row r="921" spans="1:6" ht="15.75" customHeight="1">
      <c r="A921" s="14"/>
      <c r="B921" s="6"/>
      <c r="C921" s="6"/>
      <c r="D921" s="6"/>
      <c r="E921" s="6"/>
      <c r="F921" s="6"/>
    </row>
    <row r="922" spans="1:6" ht="15.75" customHeight="1">
      <c r="A922" s="14"/>
      <c r="B922" s="6"/>
      <c r="C922" s="6"/>
      <c r="D922" s="6"/>
      <c r="E922" s="6"/>
      <c r="F922" s="6"/>
    </row>
    <row r="923" spans="1:6" ht="15.75" customHeight="1">
      <c r="A923" s="14"/>
      <c r="B923" s="6"/>
      <c r="C923" s="6"/>
      <c r="D923" s="6"/>
      <c r="E923" s="6"/>
      <c r="F923" s="6"/>
    </row>
    <row r="924" spans="1:6" ht="15.75" customHeight="1">
      <c r="A924" s="14"/>
      <c r="B924" s="6"/>
      <c r="C924" s="6"/>
      <c r="D924" s="6"/>
      <c r="E924" s="6"/>
      <c r="F924" s="6"/>
    </row>
    <row r="925" spans="1:6" ht="15.75" customHeight="1">
      <c r="A925" s="14"/>
      <c r="B925" s="6"/>
      <c r="C925" s="6"/>
      <c r="D925" s="6"/>
      <c r="E925" s="6"/>
      <c r="F925" s="6"/>
    </row>
    <row r="926" spans="1:6" ht="15.75" customHeight="1">
      <c r="A926" s="14"/>
      <c r="B926" s="6"/>
      <c r="C926" s="6"/>
      <c r="D926" s="6"/>
      <c r="E926" s="6"/>
      <c r="F926" s="6"/>
    </row>
    <row r="927" spans="1:6" ht="15.75" customHeight="1">
      <c r="A927" s="14"/>
      <c r="B927" s="6"/>
      <c r="C927" s="6"/>
      <c r="D927" s="6"/>
      <c r="E927" s="6"/>
      <c r="F927" s="6"/>
    </row>
    <row r="928" spans="1:6" ht="15.75" customHeight="1">
      <c r="A928" s="14"/>
      <c r="B928" s="6"/>
      <c r="C928" s="6"/>
      <c r="D928" s="6"/>
      <c r="E928" s="6"/>
      <c r="F928" s="6"/>
    </row>
    <row r="929" spans="1:6" ht="15.75" customHeight="1">
      <c r="A929" s="14"/>
      <c r="B929" s="6"/>
      <c r="C929" s="6"/>
      <c r="D929" s="6"/>
      <c r="E929" s="6"/>
      <c r="F929" s="6"/>
    </row>
    <row r="930" spans="1:6" ht="15.75" customHeight="1">
      <c r="A930" s="14"/>
      <c r="B930" s="6"/>
      <c r="C930" s="6"/>
      <c r="D930" s="6"/>
      <c r="E930" s="6"/>
      <c r="F930" s="6"/>
    </row>
    <row r="931" spans="1:6" ht="15.75" customHeight="1">
      <c r="A931" s="14"/>
      <c r="B931" s="6"/>
      <c r="C931" s="6"/>
      <c r="D931" s="6"/>
      <c r="E931" s="6"/>
      <c r="F931" s="6"/>
    </row>
    <row r="932" spans="1:6" ht="15.75" customHeight="1">
      <c r="A932" s="14"/>
      <c r="B932" s="6"/>
      <c r="C932" s="6"/>
      <c r="D932" s="6"/>
      <c r="E932" s="6"/>
      <c r="F932" s="6"/>
    </row>
    <row r="933" spans="1:6" ht="15.75" customHeight="1">
      <c r="A933" s="14"/>
      <c r="B933" s="6"/>
      <c r="C933" s="6"/>
      <c r="D933" s="6"/>
      <c r="E933" s="6"/>
      <c r="F933" s="6"/>
    </row>
    <row r="934" spans="1:6" ht="15.75" customHeight="1">
      <c r="A934" s="14"/>
      <c r="B934" s="6"/>
      <c r="C934" s="6"/>
      <c r="D934" s="6"/>
      <c r="E934" s="6"/>
      <c r="F934" s="6"/>
    </row>
    <row r="935" spans="1:6" ht="15.75" customHeight="1">
      <c r="A935" s="14"/>
      <c r="B935" s="6"/>
      <c r="C935" s="6"/>
      <c r="D935" s="6"/>
      <c r="E935" s="6"/>
      <c r="F935" s="6"/>
    </row>
    <row r="936" spans="1:6" ht="15.75" customHeight="1">
      <c r="A936" s="14"/>
      <c r="B936" s="6"/>
      <c r="C936" s="6"/>
      <c r="D936" s="6"/>
      <c r="E936" s="6"/>
      <c r="F936" s="6"/>
    </row>
    <row r="937" spans="1:6" ht="15.75" customHeight="1">
      <c r="A937" s="14"/>
      <c r="B937" s="6"/>
      <c r="C937" s="6"/>
      <c r="D937" s="6"/>
      <c r="E937" s="6"/>
      <c r="F937" s="6"/>
    </row>
    <row r="938" spans="1:6" ht="15.75" customHeight="1">
      <c r="A938" s="14"/>
      <c r="B938" s="6"/>
      <c r="C938" s="6"/>
      <c r="D938" s="6"/>
      <c r="E938" s="6"/>
      <c r="F938" s="6"/>
    </row>
    <row r="939" spans="1:6" ht="15.75" customHeight="1">
      <c r="A939" s="14"/>
      <c r="B939" s="6"/>
      <c r="C939" s="6"/>
      <c r="D939" s="6"/>
      <c r="E939" s="6"/>
      <c r="F939" s="6"/>
    </row>
    <row r="940" spans="1:6" ht="15.75" customHeight="1">
      <c r="A940" s="14"/>
      <c r="B940" s="6"/>
      <c r="C940" s="6"/>
      <c r="D940" s="6"/>
      <c r="E940" s="6"/>
      <c r="F940" s="6"/>
    </row>
    <row r="941" spans="1:6" ht="15.75" customHeight="1">
      <c r="A941" s="14"/>
      <c r="B941" s="6"/>
      <c r="C941" s="6"/>
      <c r="D941" s="6"/>
      <c r="E941" s="6"/>
      <c r="F941" s="6"/>
    </row>
    <row r="942" spans="1:6" ht="15.75" customHeight="1">
      <c r="A942" s="14"/>
      <c r="B942" s="6"/>
      <c r="C942" s="6"/>
      <c r="D942" s="6"/>
      <c r="E942" s="6"/>
      <c r="F942" s="6"/>
    </row>
    <row r="943" spans="1:6" ht="15.75" customHeight="1">
      <c r="A943" s="14"/>
      <c r="B943" s="6"/>
      <c r="C943" s="6"/>
      <c r="D943" s="6"/>
      <c r="E943" s="6"/>
      <c r="F943" s="6"/>
    </row>
    <row r="944" spans="1:6" ht="15.75" customHeight="1">
      <c r="A944" s="14"/>
      <c r="B944" s="6"/>
      <c r="C944" s="6"/>
      <c r="D944" s="6"/>
      <c r="E944" s="6"/>
      <c r="F944" s="6"/>
    </row>
    <row r="945" spans="1:6" ht="15.75" customHeight="1">
      <c r="A945" s="14"/>
      <c r="B945" s="6"/>
      <c r="C945" s="6"/>
      <c r="D945" s="6"/>
      <c r="E945" s="6"/>
      <c r="F945" s="6"/>
    </row>
    <row r="946" spans="1:6" ht="15.75" customHeight="1">
      <c r="A946" s="14"/>
      <c r="B946" s="6"/>
      <c r="C946" s="6"/>
      <c r="D946" s="6"/>
      <c r="E946" s="6"/>
      <c r="F946" s="6"/>
    </row>
    <row r="947" spans="1:6" ht="15.75" customHeight="1">
      <c r="A947" s="14"/>
      <c r="B947" s="6"/>
      <c r="C947" s="6"/>
      <c r="D947" s="6"/>
      <c r="E947" s="6"/>
      <c r="F947" s="6"/>
    </row>
    <row r="948" spans="1:6" ht="15.75" customHeight="1">
      <c r="A948" s="14"/>
      <c r="B948" s="6"/>
      <c r="C948" s="6"/>
      <c r="D948" s="6"/>
      <c r="E948" s="6"/>
      <c r="F948" s="6"/>
    </row>
    <row r="949" spans="1:6" ht="15.75" customHeight="1">
      <c r="A949" s="14"/>
      <c r="B949" s="6"/>
      <c r="C949" s="6"/>
      <c r="D949" s="6"/>
      <c r="E949" s="6"/>
      <c r="F949" s="6"/>
    </row>
    <row r="950" spans="1:6" ht="15.75" customHeight="1">
      <c r="A950" s="14"/>
      <c r="B950" s="6"/>
      <c r="C950" s="6"/>
      <c r="D950" s="6"/>
      <c r="E950" s="6"/>
      <c r="F950" s="6"/>
    </row>
    <row r="951" spans="1:6" ht="15.75" customHeight="1">
      <c r="A951" s="14"/>
      <c r="B951" s="6"/>
      <c r="C951" s="6"/>
      <c r="D951" s="6"/>
      <c r="E951" s="6"/>
      <c r="F951" s="6"/>
    </row>
    <row r="952" spans="1:6" ht="15.75" customHeight="1">
      <c r="A952" s="14"/>
      <c r="B952" s="6"/>
      <c r="C952" s="6"/>
      <c r="D952" s="6"/>
      <c r="E952" s="6"/>
      <c r="F952" s="6"/>
    </row>
    <row r="953" spans="1:6" ht="15.75" customHeight="1">
      <c r="A953" s="14"/>
      <c r="B953" s="6"/>
      <c r="C953" s="6"/>
      <c r="D953" s="6"/>
      <c r="E953" s="6"/>
      <c r="F953" s="6"/>
    </row>
    <row r="954" spans="1:6" ht="15.75" customHeight="1">
      <c r="A954" s="14"/>
      <c r="B954" s="6"/>
      <c r="C954" s="6"/>
      <c r="D954" s="6"/>
      <c r="E954" s="6"/>
      <c r="F954" s="6"/>
    </row>
    <row r="955" spans="1:6" ht="15.75" customHeight="1">
      <c r="A955" s="14"/>
      <c r="B955" s="6"/>
      <c r="C955" s="6"/>
      <c r="D955" s="6"/>
      <c r="E955" s="6"/>
      <c r="F955" s="6"/>
    </row>
    <row r="956" spans="1:6" ht="15.75" customHeight="1">
      <c r="A956" s="14"/>
      <c r="B956" s="6"/>
      <c r="C956" s="6"/>
      <c r="D956" s="6"/>
      <c r="E956" s="6"/>
      <c r="F956" s="6"/>
    </row>
    <row r="957" spans="1:6" ht="15.75" customHeight="1">
      <c r="A957" s="14"/>
      <c r="B957" s="6"/>
      <c r="C957" s="6"/>
      <c r="D957" s="6"/>
      <c r="E957" s="6"/>
      <c r="F957" s="6"/>
    </row>
    <row r="958" spans="1:6" ht="15.75" customHeight="1">
      <c r="A958" s="14"/>
      <c r="B958" s="6"/>
      <c r="C958" s="6"/>
      <c r="D958" s="6"/>
      <c r="E958" s="6"/>
      <c r="F958" s="6"/>
    </row>
    <row r="959" spans="1:6" ht="15.75" customHeight="1">
      <c r="A959" s="14"/>
      <c r="B959" s="6"/>
      <c r="C959" s="6"/>
      <c r="D959" s="6"/>
      <c r="E959" s="6"/>
      <c r="F959" s="6"/>
    </row>
    <row r="960" spans="1:6" ht="15.75" customHeight="1">
      <c r="A960" s="14"/>
      <c r="B960" s="6"/>
      <c r="C960" s="6"/>
      <c r="D960" s="6"/>
      <c r="E960" s="6"/>
      <c r="F960" s="6"/>
    </row>
    <row r="961" spans="1:6" ht="15.75" customHeight="1">
      <c r="A961" s="14"/>
      <c r="B961" s="6"/>
      <c r="C961" s="6"/>
      <c r="D961" s="6"/>
      <c r="E961" s="6"/>
      <c r="F961" s="6"/>
    </row>
    <row r="962" spans="1:6" ht="15.75" customHeight="1">
      <c r="A962" s="14"/>
      <c r="B962" s="6"/>
      <c r="C962" s="6"/>
      <c r="D962" s="6"/>
      <c r="E962" s="6"/>
      <c r="F962" s="6"/>
    </row>
    <row r="963" spans="1:6" ht="15.75" customHeight="1">
      <c r="A963" s="14"/>
      <c r="B963" s="6"/>
      <c r="C963" s="6"/>
      <c r="D963" s="6"/>
      <c r="E963" s="6"/>
      <c r="F963" s="6"/>
    </row>
    <row r="964" spans="1:6" ht="15.75" customHeight="1">
      <c r="A964" s="14"/>
      <c r="B964" s="6"/>
      <c r="C964" s="6"/>
      <c r="D964" s="6"/>
      <c r="E964" s="6"/>
      <c r="F964" s="6"/>
    </row>
    <row r="965" spans="1:6" ht="15.75" customHeight="1">
      <c r="A965" s="14"/>
      <c r="B965" s="6"/>
      <c r="C965" s="6"/>
      <c r="D965" s="6"/>
      <c r="E965" s="6"/>
      <c r="F965" s="6"/>
    </row>
    <row r="966" spans="1:6" ht="15.75" customHeight="1">
      <c r="A966" s="14"/>
      <c r="B966" s="6"/>
      <c r="C966" s="6"/>
      <c r="D966" s="6"/>
      <c r="E966" s="6"/>
      <c r="F966" s="6"/>
    </row>
    <row r="967" spans="1:6" ht="15.75" customHeight="1">
      <c r="A967" s="14"/>
      <c r="B967" s="6"/>
      <c r="C967" s="6"/>
      <c r="D967" s="6"/>
      <c r="E967" s="6"/>
      <c r="F967" s="6"/>
    </row>
    <row r="968" spans="1:6" ht="15.75" customHeight="1">
      <c r="A968" s="14"/>
      <c r="B968" s="6"/>
      <c r="C968" s="6"/>
      <c r="D968" s="6"/>
      <c r="E968" s="6"/>
      <c r="F968" s="6"/>
    </row>
    <row r="969" spans="1:6" ht="15.75" customHeight="1">
      <c r="A969" s="14"/>
      <c r="B969" s="6"/>
      <c r="C969" s="6"/>
      <c r="D969" s="6"/>
      <c r="E969" s="6"/>
      <c r="F969" s="6"/>
    </row>
    <row r="970" spans="1:6" ht="15.75" customHeight="1">
      <c r="A970" s="14"/>
      <c r="B970" s="6"/>
      <c r="C970" s="6"/>
      <c r="D970" s="6"/>
      <c r="E970" s="6"/>
      <c r="F970" s="6"/>
    </row>
    <row r="971" spans="1:6" ht="15.75" customHeight="1">
      <c r="A971" s="14"/>
      <c r="B971" s="6"/>
      <c r="C971" s="6"/>
      <c r="D971" s="6"/>
      <c r="E971" s="6"/>
      <c r="F971" s="6"/>
    </row>
    <row r="972" spans="1:6" ht="15.75" customHeight="1">
      <c r="A972" s="14"/>
      <c r="B972" s="6"/>
      <c r="C972" s="6"/>
      <c r="D972" s="6"/>
      <c r="E972" s="6"/>
      <c r="F972" s="6"/>
    </row>
    <row r="973" spans="1:6" ht="15.75" customHeight="1">
      <c r="A973" s="14"/>
      <c r="B973" s="6"/>
      <c r="C973" s="6"/>
      <c r="D973" s="6"/>
      <c r="E973" s="6"/>
      <c r="F973" s="6"/>
    </row>
    <row r="974" spans="1:6" ht="15.75" customHeight="1">
      <c r="A974" s="14"/>
      <c r="B974" s="6"/>
      <c r="C974" s="6"/>
      <c r="D974" s="6"/>
      <c r="E974" s="6"/>
      <c r="F974" s="6"/>
    </row>
    <row r="975" spans="1:6" ht="15.75" customHeight="1">
      <c r="A975" s="14"/>
      <c r="B975" s="6"/>
      <c r="C975" s="6"/>
      <c r="D975" s="6"/>
      <c r="E975" s="6"/>
      <c r="F975" s="6"/>
    </row>
    <row r="976" spans="1:6" ht="15.75" customHeight="1">
      <c r="A976" s="14"/>
      <c r="B976" s="6"/>
      <c r="C976" s="6"/>
      <c r="D976" s="6"/>
      <c r="E976" s="6"/>
      <c r="F976" s="6"/>
    </row>
    <row r="977" spans="1:6" ht="15.75" customHeight="1">
      <c r="A977" s="14"/>
      <c r="B977" s="6"/>
      <c r="C977" s="6"/>
      <c r="D977" s="6"/>
      <c r="E977" s="6"/>
      <c r="F977" s="6"/>
    </row>
    <row r="978" spans="1:6" ht="15.75" customHeight="1">
      <c r="A978" s="14"/>
      <c r="B978" s="6"/>
      <c r="C978" s="6"/>
      <c r="D978" s="6"/>
      <c r="E978" s="6"/>
      <c r="F978" s="6"/>
    </row>
    <row r="979" spans="1:6" ht="15.75" customHeight="1">
      <c r="A979" s="14"/>
      <c r="B979" s="6"/>
      <c r="C979" s="6"/>
      <c r="D979" s="6"/>
      <c r="E979" s="6"/>
      <c r="F979" s="6"/>
    </row>
    <row r="980" spans="1:6" ht="15.75" customHeight="1">
      <c r="A980" s="14"/>
      <c r="B980" s="6"/>
      <c r="C980" s="6"/>
      <c r="D980" s="6"/>
      <c r="E980" s="6"/>
      <c r="F980" s="6"/>
    </row>
    <row r="981" spans="1:6" ht="15.75" customHeight="1">
      <c r="A981" s="14"/>
      <c r="B981" s="6"/>
      <c r="C981" s="6"/>
      <c r="D981" s="6"/>
      <c r="E981" s="6"/>
      <c r="F981" s="6"/>
    </row>
    <row r="982" spans="1:6" ht="15.75" customHeight="1">
      <c r="A982" s="14"/>
      <c r="B982" s="6"/>
      <c r="C982" s="6"/>
      <c r="D982" s="6"/>
      <c r="E982" s="6"/>
      <c r="F982" s="6"/>
    </row>
    <row r="983" spans="1:6" ht="15.75" customHeight="1">
      <c r="A983" s="14"/>
      <c r="B983" s="6"/>
      <c r="C983" s="6"/>
      <c r="D983" s="6"/>
      <c r="E983" s="6"/>
      <c r="F983" s="6"/>
    </row>
    <row r="984" spans="1:6" ht="15.75" customHeight="1">
      <c r="A984" s="14"/>
      <c r="B984" s="6"/>
      <c r="C984" s="6"/>
      <c r="D984" s="6"/>
      <c r="E984" s="6"/>
      <c r="F984" s="6"/>
    </row>
    <row r="985" spans="1:6" ht="15.75" customHeight="1">
      <c r="A985" s="14"/>
      <c r="B985" s="6"/>
      <c r="C985" s="6"/>
      <c r="D985" s="6"/>
      <c r="E985" s="6"/>
      <c r="F985" s="6"/>
    </row>
    <row r="986" spans="1:6" ht="15.75" customHeight="1">
      <c r="A986" s="14"/>
      <c r="B986" s="6"/>
      <c r="C986" s="6"/>
      <c r="D986" s="6"/>
      <c r="E986" s="6"/>
      <c r="F986" s="6"/>
    </row>
    <row r="987" spans="1:6" ht="15.75" customHeight="1">
      <c r="A987" s="14"/>
      <c r="B987" s="6"/>
      <c r="C987" s="6"/>
      <c r="D987" s="6"/>
      <c r="E987" s="6"/>
      <c r="F987" s="6"/>
    </row>
    <row r="988" spans="1:6" ht="15.75" customHeight="1">
      <c r="A988" s="14"/>
      <c r="B988" s="6"/>
      <c r="C988" s="6"/>
      <c r="D988" s="6"/>
      <c r="E988" s="6"/>
      <c r="F988" s="6"/>
    </row>
  </sheetData>
  <printOptions horizontalCentered="1"/>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6600"/>
  </sheetPr>
  <dimension ref="A1:Z996"/>
  <sheetViews>
    <sheetView workbookViewId="0"/>
  </sheetViews>
  <sheetFormatPr defaultColWidth="11.25" defaultRowHeight="15" customHeight="1"/>
  <cols>
    <col min="1" max="1" width="5.5" customWidth="1"/>
    <col min="2" max="2" width="53.375" customWidth="1"/>
    <col min="3" max="3" width="18.375" customWidth="1"/>
    <col min="4" max="4" width="36.25" customWidth="1"/>
    <col min="5" max="5" width="14.625" customWidth="1"/>
    <col min="6" max="6" width="14.375" customWidth="1"/>
    <col min="7" max="26" width="10" customWidth="1"/>
  </cols>
  <sheetData>
    <row r="1" spans="1:26" ht="28.5" customHeight="1">
      <c r="A1" s="76" t="s">
        <v>0</v>
      </c>
      <c r="B1" s="77"/>
      <c r="C1" s="77"/>
      <c r="D1" s="68" t="s">
        <v>414</v>
      </c>
      <c r="E1" s="68" t="s">
        <v>2</v>
      </c>
      <c r="F1" s="68" t="s">
        <v>3</v>
      </c>
    </row>
    <row r="2" spans="1:26" ht="34.5" customHeight="1">
      <c r="A2" s="78" t="s">
        <v>415</v>
      </c>
      <c r="B2" s="77"/>
      <c r="C2" s="77"/>
      <c r="D2" s="69" t="str">
        <f ca="1">IFERROR(__xludf.DUMMYFUNCTION("GOOGLETRANSLATE(A2,(""auto""),(""es""))"),"02 Conjunto de velocímetro")</f>
        <v>02 Conjunto de velocímetro</v>
      </c>
      <c r="E2" s="69" t="str">
        <f ca="1">IFERROR(__xludf.DUMMYFUNCTION("GOOGLETRANSLATE(A2,(""auto""),(""FR""))"),"02 Assemblage du compteur de vitesse")</f>
        <v>02 Assemblage du compteur de vitesse</v>
      </c>
      <c r="F2" s="69" t="str">
        <f ca="1">IFERROR(__xludf.DUMMYFUNCTION("GOOGLETRANSLATE(A2,(""auto""),(""IT""))"),"02 Gruppo tachimetro")</f>
        <v>02 Gruppo tachimetro</v>
      </c>
      <c r="G2" s="12"/>
      <c r="H2" s="12"/>
      <c r="I2" s="12"/>
      <c r="J2" s="12"/>
      <c r="K2" s="12"/>
      <c r="L2" s="12"/>
      <c r="M2" s="12"/>
      <c r="N2" s="12"/>
      <c r="O2" s="12"/>
      <c r="P2" s="12"/>
      <c r="Q2" s="12"/>
      <c r="R2" s="12"/>
      <c r="S2" s="12"/>
      <c r="T2" s="12"/>
      <c r="U2" s="12"/>
      <c r="V2" s="12"/>
      <c r="W2" s="12"/>
      <c r="X2" s="12"/>
      <c r="Y2" s="12"/>
      <c r="Z2" s="12"/>
    </row>
    <row r="3" spans="1:26" ht="30" customHeight="1">
      <c r="A3" s="10" t="s">
        <v>416</v>
      </c>
      <c r="B3" s="11" t="s">
        <v>146</v>
      </c>
      <c r="C3" s="11" t="s">
        <v>147</v>
      </c>
      <c r="D3" s="11" t="str">
        <f ca="1">IFERROR(__xludf.DUMMYFUNCTION("GOOGLETRANSLATE(B3,(""auto""),(""es""))"),"Preparación:")</f>
        <v>Preparación:</v>
      </c>
      <c r="E3" s="11" t="str">
        <f ca="1">IFERROR(__xludf.DUMMYFUNCTION("GOOGLETRANSLATE(B3,(""auto""),(""FR""))"),"Préparation:")</f>
        <v>Préparation:</v>
      </c>
      <c r="F3" s="11" t="str">
        <f ca="1">IFERROR(__xludf.DUMMYFUNCTION("GOOGLETRANSLATE(B3,(""auto""),(""IT""))"),"Preparazione:")</f>
        <v>Preparazione:</v>
      </c>
    </row>
    <row r="4" spans="1:26" ht="30" customHeight="1">
      <c r="A4" s="10">
        <v>1</v>
      </c>
      <c r="B4" s="11" t="s">
        <v>417</v>
      </c>
      <c r="C4" s="11"/>
      <c r="D4" s="11" t="str">
        <f ca="1">IFERROR(__xludf.DUMMYFUNCTION("GOOGLETRANSLATE(B4,(""auto""),(""es""))"),"
Retire la canasta delantera - consulte el Capítulo 2, Sección 0")</f>
        <v xml:space="preserve">
Retire la canasta delantera - consulte el Capítulo 2, Sección 0</v>
      </c>
      <c r="E4" s="11" t="str">
        <f ca="1">IFERROR(__xludf.DUMMYFUNCTION("GOOGLETRANSLATE(B4,(""auto""),(""FR""))"),"
Retirez le panier avant - voir le chapitre 2, section 0")</f>
        <v xml:space="preserve">
Retirez le panier avant - voir le chapitre 2, section 0</v>
      </c>
      <c r="F4" s="11" t="str">
        <f ca="1">IFERROR(__xludf.DUMMYFUNCTION("GOOGLETRANSLATE(B4,(""auto""),(""IT""))"),"
Rimuovi il cestino anteriore - Vedi il capitolo 2, sezione 0")</f>
        <v xml:space="preserve">
Rimuovi il cestino anteriore - Vedi il capitolo 2, sezione 0</v>
      </c>
    </row>
    <row r="5" spans="1:26" ht="45" customHeight="1">
      <c r="A5" s="10">
        <v>2</v>
      </c>
      <c r="B5" s="11" t="s">
        <v>418</v>
      </c>
      <c r="C5" s="11"/>
      <c r="D5" s="11" t="str">
        <f ca="1">IFERROR(__xludf.DUMMYFUNCTION("GOOGLETRANSLATE(B5,(""auto""),(""es""))"),"
Retire la cubierta frontal ---- Consulte el Capítulo 2, Sección 02")</f>
        <v xml:space="preserve">
Retire la cubierta frontal ---- Consulte el Capítulo 2, Sección 02</v>
      </c>
      <c r="E5" s="11" t="str">
        <f ca="1">IFERROR(__xludf.DUMMYFUNCTION("GOOGLETRANSLATE(B5,(""auto""),(""FR""))"),"
Retirez le couvercle avant ---- Voir chapitre 2, section 02")</f>
        <v xml:space="preserve">
Retirez le couvercle avant ---- Voir chapitre 2, section 02</v>
      </c>
      <c r="F5" s="11" t="str">
        <f ca="1">IFERROR(__xludf.DUMMYFUNCTION("GOOGLETRANSLATE(B5,(""auto""),(""IT""))"),"
Rimuovere il coperchio anteriore ---- Vedi capitolo 2, Sezione 02")</f>
        <v xml:space="preserve">
Rimuovere il coperchio anteriore ---- Vedi capitolo 2, Sezione 02</v>
      </c>
    </row>
    <row r="6" spans="1:26" ht="45" customHeight="1">
      <c r="A6" s="10">
        <v>3</v>
      </c>
      <c r="B6" s="11" t="s">
        <v>419</v>
      </c>
      <c r="C6" s="11"/>
      <c r="D6" s="11" t="str">
        <f ca="1">IFERROR(__xludf.DUMMYFUNCTION("GOOGLETRANSLATE(B6,(""auto""),(""es""))"),"
Retire la placa eléctrica - consulte el Capítulo 2, Sección 03")</f>
        <v xml:space="preserve">
Retire la placa eléctrica - consulte el Capítulo 2, Sección 03</v>
      </c>
      <c r="E6" s="11" t="str">
        <f ca="1">IFERROR(__xludf.DUMMYFUNCTION("GOOGLETRANSLATE(B6,(""auto""),(""FR""))"),"
Retirez la plaque électrique - voir chapitre 2, section 03")</f>
        <v xml:space="preserve">
Retirez la plaque électrique - voir chapitre 2, section 03</v>
      </c>
      <c r="F6" s="11" t="str">
        <f ca="1">IFERROR(__xludf.DUMMYFUNCTION("GOOGLETRANSLATE(B6,(""auto""),(""IT""))"),"
Rimuovere la piastra elettrica - vedere il capitolo 2, sezione 03")</f>
        <v xml:space="preserve">
Rimuovere la piastra elettrica - vedere il capitolo 2, sezione 03</v>
      </c>
    </row>
    <row r="7" spans="1:26" ht="45" customHeight="1">
      <c r="A7" s="11" t="s">
        <v>420</v>
      </c>
      <c r="B7" s="11" t="s">
        <v>421</v>
      </c>
      <c r="C7" s="11" t="s">
        <v>422</v>
      </c>
      <c r="D7" s="11" t="str">
        <f ca="1">IFERROR(__xludf.DUMMYFUNCTION("GOOGLETRANSLATE(B7,(""auto""),(""es""))"),"
Descripción")</f>
        <v xml:space="preserve">
Descripción</v>
      </c>
      <c r="E7" s="11" t="str">
        <f ca="1">IFERROR(__xludf.DUMMYFUNCTION("GOOGLETRANSLATE(B7,(""auto""),(""FR""))"),"
Description")</f>
        <v xml:space="preserve">
Description</v>
      </c>
      <c r="F7" s="11" t="str">
        <f ca="1">IFERROR(__xludf.DUMMYFUNCTION("GOOGLETRANSLATE(B7,(""auto""),(""IT""))"),"
Descrizione")</f>
        <v xml:space="preserve">
Descrizione</v>
      </c>
    </row>
    <row r="8" spans="1:26" ht="66.75" customHeight="1">
      <c r="A8" s="10">
        <v>1</v>
      </c>
      <c r="B8" s="11" t="s">
        <v>423</v>
      </c>
      <c r="C8" s="11"/>
      <c r="D8" s="11" t="str">
        <f ca="1">IFERROR(__xludf.DUMMYFUNCTION("GOOGLETRANSLATE(B8,(""auto""),(""es""))"),"
Retire los dos pernos del soporte del velocímetro y retire el conjunto del velocímetro con hexágono interno de 5 mm")</f>
        <v xml:space="preserve">
Retire los dos pernos del soporte del velocímetro y retire el conjunto del velocímetro con hexágono interno de 5 mm</v>
      </c>
      <c r="E8" s="11" t="str">
        <f ca="1">IFERROR(__xludf.DUMMYFUNCTION("GOOGLETRANSLATE(B8,(""auto""),(""FR""))"),"
Retirez les deux boulons du support de compteur de vitesse et retirez l'ensemble du compteur de vitesse avec un hexagone intérieur de 5 mm")</f>
        <v xml:space="preserve">
Retirez les deux boulons du support de compteur de vitesse et retirez l'ensemble du compteur de vitesse avec un hexagone intérieur de 5 mm</v>
      </c>
      <c r="F8" s="11" t="str">
        <f ca="1">IFERROR(__xludf.DUMMYFUNCTION("GOOGLETRANSLATE(B8,(""auto""),(""IT""))"),"
Rimuovere i due bulloni della staffa del tachimetro e rimuovere il gruppo tachimetro con esagono interno da 5 mm")</f>
        <v xml:space="preserve">
Rimuovere i due bulloni della staffa del tachimetro e rimuovere il gruppo tachimetro con esagono interno da 5 mm</v>
      </c>
    </row>
    <row r="9" spans="1:26" ht="66.75" customHeight="1">
      <c r="A9" s="10">
        <v>2</v>
      </c>
      <c r="B9" s="11" t="s">
        <v>424</v>
      </c>
      <c r="C9" s="11"/>
      <c r="D9" s="11" t="str">
        <f ca="1">IFERROR(__xludf.DUMMYFUNCTION("GOOGLETRANSLATE(B9,(""auto""),(""es""))"),"
Retire 2 tuercas de la cubierta inferior del velocímetro con una manga de clavos de 10 mm")</f>
        <v xml:space="preserve">
Retire 2 tuercas de la cubierta inferior del velocímetro con una manga de clavos de 10 mm</v>
      </c>
      <c r="E9" s="11" t="str">
        <f ca="1">IFERROR(__xludf.DUMMYFUNCTION("GOOGLETRANSLATE(B9,(""auto""),(""FR""))"),"
Retirez 2 écrous de la coque inférieure du compteur de vitesse avec un manchon à ongles de 10 mm")</f>
        <v xml:space="preserve">
Retirez 2 écrous de la coque inférieure du compteur de vitesse avec un manchon à ongles de 10 mm</v>
      </c>
      <c r="F9" s="11" t="str">
        <f ca="1">IFERROR(__xludf.DUMMYFUNCTION("GOOGLETRANSLATE(B9,(""auto""),(""IT""))"),"
Rimuovere 2 dadi dal guscio inferiore del tachimetro con manica unghie da 10 mm")</f>
        <v xml:space="preserve">
Rimuovere 2 dadi dal guscio inferiore del tachimetro con manica unghie da 10 mm</v>
      </c>
    </row>
    <row r="10" spans="1:26" ht="66.75" customHeight="1">
      <c r="A10" s="10"/>
      <c r="B10" s="11"/>
      <c r="C10" s="11"/>
      <c r="D10" s="11"/>
      <c r="E10" s="11"/>
      <c r="F10" s="11"/>
    </row>
    <row r="11" spans="1:26" ht="66.75" customHeight="1">
      <c r="A11" s="10"/>
      <c r="B11" s="11"/>
      <c r="C11" s="11"/>
      <c r="D11" s="11"/>
      <c r="E11" s="11"/>
      <c r="F11" s="11"/>
    </row>
    <row r="12" spans="1:26">
      <c r="A12" s="10"/>
      <c r="B12" s="11"/>
      <c r="C12" s="11"/>
      <c r="D12" s="11"/>
      <c r="E12" s="11"/>
      <c r="F12" s="11"/>
    </row>
    <row r="13" spans="1:26">
      <c r="A13" s="10"/>
      <c r="B13" s="11"/>
      <c r="C13" s="11"/>
      <c r="D13" s="11"/>
      <c r="E13" s="11"/>
      <c r="F13" s="11"/>
    </row>
    <row r="14" spans="1:26">
      <c r="A14" s="10"/>
      <c r="B14" s="11"/>
      <c r="C14" s="11"/>
      <c r="D14" s="11"/>
      <c r="E14" s="11"/>
      <c r="F14" s="11"/>
    </row>
    <row r="15" spans="1:26">
      <c r="A15" s="10"/>
      <c r="B15" s="11"/>
      <c r="C15" s="11"/>
      <c r="D15" s="11"/>
      <c r="E15" s="11"/>
      <c r="F15" s="11"/>
    </row>
    <row r="16" spans="1:26">
      <c r="A16" s="10"/>
      <c r="B16" s="11"/>
      <c r="C16" s="11"/>
      <c r="D16" s="11"/>
      <c r="E16" s="11"/>
      <c r="F16" s="11"/>
    </row>
    <row r="17" spans="1:6" ht="15.75" customHeight="1">
      <c r="A17" s="10"/>
      <c r="B17" s="11"/>
      <c r="C17" s="11"/>
      <c r="D17" s="11"/>
      <c r="E17" s="11"/>
      <c r="F17" s="11"/>
    </row>
    <row r="18" spans="1:6" ht="15.75" customHeight="1">
      <c r="A18" s="10"/>
      <c r="B18" s="11"/>
      <c r="C18" s="11"/>
      <c r="D18" s="11"/>
      <c r="E18" s="11"/>
      <c r="F18" s="11"/>
    </row>
    <row r="19" spans="1:6" ht="15.75" customHeight="1">
      <c r="A19" s="10"/>
      <c r="B19" s="11"/>
      <c r="C19" s="11"/>
      <c r="D19" s="11"/>
      <c r="E19" s="11"/>
      <c r="F19" s="11"/>
    </row>
    <row r="20" spans="1:6" ht="15.75" customHeight="1">
      <c r="A20" s="10"/>
      <c r="B20" s="11"/>
      <c r="C20" s="11"/>
      <c r="D20" s="11"/>
      <c r="E20" s="11"/>
      <c r="F20" s="11"/>
    </row>
    <row r="21" spans="1:6" ht="15.75" customHeight="1">
      <c r="A21" s="10"/>
      <c r="B21" s="11"/>
      <c r="C21" s="11"/>
      <c r="D21" s="11"/>
      <c r="E21" s="11"/>
      <c r="F21" s="11"/>
    </row>
    <row r="22" spans="1:6" ht="15.75" customHeight="1">
      <c r="A22" s="10"/>
      <c r="B22" s="11"/>
      <c r="C22" s="11"/>
      <c r="D22" s="11"/>
      <c r="E22" s="11"/>
      <c r="F22" s="11"/>
    </row>
    <row r="23" spans="1:6" ht="15.75" customHeight="1">
      <c r="A23" s="10"/>
      <c r="B23" s="11"/>
      <c r="C23" s="11"/>
      <c r="D23" s="11"/>
      <c r="E23" s="11"/>
      <c r="F23" s="11"/>
    </row>
    <row r="24" spans="1:6" ht="15.75" customHeight="1">
      <c r="A24" s="10"/>
      <c r="B24" s="11"/>
      <c r="C24" s="11"/>
      <c r="D24" s="11"/>
      <c r="E24" s="11"/>
      <c r="F24" s="11"/>
    </row>
    <row r="25" spans="1:6" ht="15.75" customHeight="1">
      <c r="A25" s="10"/>
      <c r="B25" s="11"/>
      <c r="C25" s="11"/>
      <c r="D25" s="11"/>
      <c r="E25" s="11"/>
      <c r="F25" s="11"/>
    </row>
    <row r="26" spans="1:6" ht="15.75" customHeight="1">
      <c r="A26" s="10"/>
      <c r="B26" s="11"/>
      <c r="C26" s="11"/>
      <c r="D26" s="11"/>
      <c r="E26" s="11"/>
      <c r="F26" s="11"/>
    </row>
    <row r="27" spans="1:6" ht="15.75" customHeight="1">
      <c r="A27" s="10"/>
      <c r="B27" s="11"/>
      <c r="C27" s="11"/>
      <c r="D27" s="11"/>
      <c r="E27" s="11"/>
      <c r="F27" s="11"/>
    </row>
    <row r="28" spans="1:6" ht="15.75" customHeight="1">
      <c r="A28" s="10"/>
      <c r="B28" s="11"/>
      <c r="C28" s="11"/>
      <c r="D28" s="11"/>
      <c r="E28" s="11"/>
      <c r="F28" s="11"/>
    </row>
    <row r="29" spans="1:6" ht="15.75" customHeight="1">
      <c r="A29" s="10"/>
      <c r="B29" s="11"/>
      <c r="C29" s="11"/>
      <c r="D29" s="11"/>
      <c r="E29" s="11"/>
      <c r="F29" s="11"/>
    </row>
    <row r="30" spans="1:6" ht="15.75" customHeight="1">
      <c r="A30" s="10"/>
      <c r="B30" s="11"/>
      <c r="C30" s="11"/>
      <c r="D30" s="11"/>
      <c r="E30" s="11"/>
      <c r="F30" s="11"/>
    </row>
    <row r="31" spans="1:6" ht="15.75" customHeight="1">
      <c r="A31" s="10"/>
      <c r="B31" s="11"/>
      <c r="C31" s="11"/>
      <c r="D31" s="11"/>
      <c r="E31" s="11"/>
      <c r="F31" s="11"/>
    </row>
    <row r="32" spans="1:6" ht="15.75" customHeight="1">
      <c r="A32" s="10"/>
      <c r="B32" s="11"/>
      <c r="C32" s="11"/>
      <c r="D32" s="11"/>
      <c r="E32" s="11"/>
      <c r="F32" s="11"/>
    </row>
    <row r="33" spans="1:6" ht="15.75" customHeight="1">
      <c r="A33" s="10"/>
      <c r="B33" s="11"/>
      <c r="C33" s="11"/>
      <c r="D33" s="11"/>
      <c r="E33" s="11"/>
      <c r="F33" s="11"/>
    </row>
    <row r="34" spans="1:6" ht="15.75" customHeight="1">
      <c r="A34" s="10"/>
      <c r="B34" s="11"/>
      <c r="C34" s="11"/>
      <c r="D34" s="11"/>
      <c r="E34" s="11"/>
      <c r="F34" s="11"/>
    </row>
    <row r="35" spans="1:6" ht="15.75" customHeight="1">
      <c r="A35" s="10"/>
      <c r="B35" s="11"/>
      <c r="C35" s="11"/>
      <c r="D35" s="11"/>
      <c r="E35" s="11"/>
      <c r="F35" s="11"/>
    </row>
    <row r="36" spans="1:6" ht="15.75" customHeight="1">
      <c r="A36" s="10"/>
      <c r="B36" s="11"/>
      <c r="C36" s="11"/>
      <c r="D36" s="11"/>
      <c r="E36" s="11"/>
      <c r="F36" s="11"/>
    </row>
    <row r="37" spans="1:6" ht="15.75" customHeight="1">
      <c r="A37" s="10"/>
      <c r="B37" s="11"/>
      <c r="C37" s="11"/>
      <c r="D37" s="11"/>
      <c r="E37" s="11"/>
      <c r="F37" s="11"/>
    </row>
    <row r="38" spans="1:6" ht="15.75" customHeight="1">
      <c r="A38" s="10"/>
      <c r="B38" s="11"/>
      <c r="C38" s="11"/>
      <c r="D38" s="11"/>
      <c r="E38" s="11"/>
      <c r="F38" s="11"/>
    </row>
    <row r="39" spans="1:6" ht="15.75" customHeight="1">
      <c r="A39" s="10"/>
      <c r="B39" s="11"/>
      <c r="C39" s="11"/>
      <c r="D39" s="11"/>
      <c r="E39" s="11"/>
      <c r="F39" s="11"/>
    </row>
    <row r="40" spans="1:6" ht="15.75" customHeight="1">
      <c r="A40" s="10"/>
      <c r="B40" s="11"/>
      <c r="C40" s="11"/>
      <c r="D40" s="11"/>
      <c r="E40" s="11"/>
      <c r="F40" s="11"/>
    </row>
    <row r="41" spans="1:6" ht="15.75" customHeight="1">
      <c r="A41" s="10"/>
      <c r="B41" s="11"/>
      <c r="C41" s="11"/>
      <c r="D41" s="11"/>
      <c r="E41" s="11"/>
      <c r="F41" s="11"/>
    </row>
    <row r="42" spans="1:6" ht="15.75" customHeight="1">
      <c r="A42" s="10"/>
      <c r="B42" s="11"/>
      <c r="C42" s="11"/>
      <c r="D42" s="11"/>
      <c r="E42" s="11"/>
      <c r="F42" s="11"/>
    </row>
    <row r="43" spans="1:6" ht="15.75" customHeight="1">
      <c r="A43" s="10"/>
      <c r="B43" s="11"/>
      <c r="C43" s="11"/>
      <c r="D43" s="11"/>
      <c r="E43" s="11"/>
      <c r="F43" s="11"/>
    </row>
    <row r="44" spans="1:6" ht="15.75" customHeight="1">
      <c r="A44" s="10"/>
      <c r="B44" s="11"/>
      <c r="C44" s="11"/>
      <c r="D44" s="11"/>
      <c r="E44" s="11"/>
      <c r="F44" s="11"/>
    </row>
    <row r="45" spans="1:6" ht="15.75" customHeight="1">
      <c r="A45" s="10"/>
      <c r="B45" s="11"/>
      <c r="C45" s="11"/>
      <c r="D45" s="11"/>
      <c r="E45" s="11"/>
      <c r="F45" s="11"/>
    </row>
    <row r="46" spans="1:6" ht="15.75" customHeight="1">
      <c r="A46" s="10"/>
      <c r="B46" s="11"/>
      <c r="C46" s="11"/>
      <c r="D46" s="11"/>
      <c r="E46" s="11"/>
      <c r="F46" s="11"/>
    </row>
    <row r="47" spans="1:6" ht="15.75" customHeight="1">
      <c r="A47" s="10"/>
      <c r="B47" s="11"/>
      <c r="C47" s="11"/>
      <c r="D47" s="11"/>
      <c r="E47" s="11"/>
      <c r="F47" s="11"/>
    </row>
    <row r="48" spans="1:6" ht="15.75" customHeight="1">
      <c r="A48" s="10"/>
      <c r="B48" s="11"/>
      <c r="C48" s="11"/>
      <c r="D48" s="11"/>
      <c r="E48" s="11"/>
      <c r="F48" s="11"/>
    </row>
    <row r="49" spans="1:6" ht="15.75" customHeight="1">
      <c r="A49" s="10"/>
      <c r="B49" s="11"/>
      <c r="C49" s="11"/>
      <c r="D49" s="11"/>
      <c r="E49" s="11"/>
      <c r="F49" s="11"/>
    </row>
    <row r="50" spans="1:6" ht="15.75" customHeight="1">
      <c r="A50" s="10"/>
      <c r="B50" s="11"/>
      <c r="C50" s="11"/>
      <c r="D50" s="11"/>
      <c r="E50" s="11"/>
      <c r="F50" s="11"/>
    </row>
    <row r="51" spans="1:6" ht="15.75" customHeight="1">
      <c r="A51" s="10"/>
      <c r="B51" s="11"/>
      <c r="C51" s="11"/>
      <c r="D51" s="11"/>
      <c r="E51" s="11"/>
      <c r="F51" s="11"/>
    </row>
    <row r="52" spans="1:6" ht="15.75" customHeight="1">
      <c r="A52" s="10"/>
      <c r="B52" s="11"/>
      <c r="C52" s="11"/>
      <c r="D52" s="11"/>
      <c r="E52" s="11"/>
      <c r="F52" s="11"/>
    </row>
    <row r="53" spans="1:6" ht="15.75" customHeight="1">
      <c r="A53" s="10"/>
      <c r="B53" s="11"/>
      <c r="C53" s="11"/>
      <c r="D53" s="11"/>
      <c r="E53" s="11"/>
      <c r="F53" s="11"/>
    </row>
    <row r="54" spans="1:6" ht="15.75" customHeight="1">
      <c r="A54" s="10"/>
      <c r="B54" s="11"/>
      <c r="C54" s="11"/>
      <c r="D54" s="11"/>
      <c r="E54" s="11"/>
      <c r="F54" s="11"/>
    </row>
    <row r="55" spans="1:6" ht="15.75" customHeight="1">
      <c r="A55" s="10"/>
      <c r="B55" s="11"/>
      <c r="C55" s="11"/>
      <c r="D55" s="11"/>
      <c r="E55" s="11"/>
      <c r="F55" s="11"/>
    </row>
    <row r="56" spans="1:6" ht="15.75" customHeight="1">
      <c r="A56" s="10"/>
      <c r="B56" s="11"/>
      <c r="C56" s="11"/>
      <c r="D56" s="11"/>
      <c r="E56" s="11"/>
      <c r="F56" s="11"/>
    </row>
    <row r="57" spans="1:6" ht="15.75" customHeight="1">
      <c r="A57" s="10"/>
      <c r="B57" s="11"/>
      <c r="C57" s="11"/>
      <c r="D57" s="11"/>
      <c r="E57" s="11"/>
      <c r="F57" s="11"/>
    </row>
    <row r="58" spans="1:6" ht="15.75" customHeight="1">
      <c r="A58" s="10"/>
      <c r="B58" s="11"/>
      <c r="C58" s="11"/>
      <c r="D58" s="11"/>
      <c r="E58" s="11"/>
      <c r="F58" s="11"/>
    </row>
    <row r="59" spans="1:6" ht="15.75" customHeight="1">
      <c r="A59" s="10"/>
      <c r="B59" s="11"/>
      <c r="C59" s="11"/>
      <c r="D59" s="11"/>
      <c r="E59" s="11"/>
      <c r="F59" s="11"/>
    </row>
    <row r="60" spans="1:6" ht="15.75" customHeight="1">
      <c r="A60" s="10"/>
      <c r="B60" s="11"/>
      <c r="C60" s="11"/>
      <c r="D60" s="11"/>
      <c r="E60" s="11"/>
      <c r="F60" s="11"/>
    </row>
    <row r="61" spans="1:6" ht="15.75" customHeight="1">
      <c r="A61" s="10"/>
      <c r="B61" s="11"/>
      <c r="C61" s="11"/>
      <c r="D61" s="11"/>
      <c r="E61" s="11"/>
      <c r="F61" s="11"/>
    </row>
    <row r="62" spans="1:6" ht="15.75" customHeight="1">
      <c r="A62" s="10"/>
      <c r="B62" s="11"/>
      <c r="C62" s="11"/>
      <c r="D62" s="11"/>
      <c r="E62" s="11"/>
      <c r="F62" s="11"/>
    </row>
    <row r="63" spans="1:6" ht="15.75" customHeight="1">
      <c r="A63" s="10"/>
      <c r="B63" s="11"/>
      <c r="C63" s="11"/>
      <c r="D63" s="11"/>
      <c r="E63" s="11"/>
      <c r="F63" s="11"/>
    </row>
    <row r="64" spans="1:6" ht="15.75" customHeight="1">
      <c r="A64" s="10"/>
      <c r="B64" s="11"/>
      <c r="C64" s="11"/>
      <c r="D64" s="11"/>
      <c r="E64" s="11"/>
      <c r="F64" s="11"/>
    </row>
    <row r="65" spans="1:6" ht="15.75" customHeight="1">
      <c r="A65" s="10"/>
      <c r="B65" s="11"/>
      <c r="C65" s="11"/>
      <c r="D65" s="11"/>
      <c r="E65" s="11"/>
      <c r="F65" s="11"/>
    </row>
    <row r="66" spans="1:6" ht="15.75" customHeight="1">
      <c r="A66" s="10"/>
      <c r="B66" s="11"/>
      <c r="C66" s="11"/>
      <c r="D66" s="11"/>
      <c r="E66" s="11"/>
      <c r="F66" s="11"/>
    </row>
    <row r="67" spans="1:6" ht="15.75" customHeight="1">
      <c r="A67" s="10"/>
      <c r="B67" s="11"/>
      <c r="C67" s="11"/>
      <c r="D67" s="11"/>
      <c r="E67" s="11"/>
      <c r="F67" s="11"/>
    </row>
    <row r="68" spans="1:6" ht="15.75" customHeight="1">
      <c r="A68" s="10"/>
      <c r="B68" s="11"/>
      <c r="C68" s="11"/>
      <c r="D68" s="11"/>
      <c r="E68" s="11"/>
      <c r="F68" s="11"/>
    </row>
    <row r="69" spans="1:6" ht="15.75" customHeight="1">
      <c r="A69" s="10"/>
      <c r="B69" s="11"/>
      <c r="C69" s="11"/>
      <c r="D69" s="11"/>
      <c r="E69" s="11"/>
      <c r="F69" s="11"/>
    </row>
    <row r="70" spans="1:6" ht="15.75" customHeight="1">
      <c r="A70" s="10"/>
      <c r="B70" s="11"/>
      <c r="C70" s="11"/>
      <c r="D70" s="11"/>
      <c r="E70" s="11"/>
      <c r="F70" s="11"/>
    </row>
    <row r="71" spans="1:6" ht="15.75" customHeight="1">
      <c r="A71" s="10"/>
      <c r="B71" s="11"/>
      <c r="C71" s="11"/>
      <c r="D71" s="11"/>
      <c r="E71" s="11"/>
      <c r="F71" s="11"/>
    </row>
    <row r="72" spans="1:6" ht="15.75" customHeight="1">
      <c r="A72" s="10"/>
      <c r="B72" s="11"/>
      <c r="C72" s="11"/>
      <c r="D72" s="11"/>
      <c r="E72" s="11"/>
      <c r="F72" s="11"/>
    </row>
    <row r="73" spans="1:6" ht="15.75" customHeight="1">
      <c r="A73" s="10"/>
      <c r="B73" s="11"/>
      <c r="C73" s="11"/>
      <c r="D73" s="11"/>
      <c r="E73" s="11"/>
      <c r="F73" s="11"/>
    </row>
    <row r="74" spans="1:6" ht="15.75" customHeight="1">
      <c r="A74" s="10"/>
      <c r="B74" s="11"/>
      <c r="C74" s="11"/>
      <c r="D74" s="11"/>
      <c r="E74" s="11"/>
      <c r="F74" s="11"/>
    </row>
    <row r="75" spans="1:6" ht="15.75" customHeight="1">
      <c r="A75" s="10"/>
      <c r="B75" s="11"/>
      <c r="C75" s="11"/>
      <c r="D75" s="11"/>
      <c r="E75" s="11"/>
      <c r="F75" s="11"/>
    </row>
    <row r="76" spans="1:6" ht="15.75" customHeight="1">
      <c r="A76" s="10"/>
      <c r="B76" s="11"/>
      <c r="C76" s="11"/>
      <c r="D76" s="11"/>
      <c r="E76" s="11"/>
      <c r="F76" s="11"/>
    </row>
    <row r="77" spans="1:6" ht="15.75" customHeight="1">
      <c r="A77" s="10"/>
      <c r="B77" s="11"/>
      <c r="C77" s="11"/>
      <c r="D77" s="11"/>
      <c r="E77" s="11"/>
      <c r="F77" s="11"/>
    </row>
    <row r="78" spans="1:6" ht="15.75" customHeight="1">
      <c r="A78" s="10"/>
      <c r="B78" s="11"/>
      <c r="C78" s="11"/>
      <c r="D78" s="11"/>
      <c r="E78" s="11"/>
      <c r="F78" s="11"/>
    </row>
    <row r="79" spans="1:6" ht="15.75" customHeight="1">
      <c r="A79" s="10"/>
      <c r="B79" s="11"/>
      <c r="C79" s="11"/>
      <c r="D79" s="11"/>
      <c r="E79" s="11"/>
      <c r="F79" s="11"/>
    </row>
    <row r="80" spans="1:6" ht="15.75" customHeight="1">
      <c r="A80" s="10"/>
      <c r="B80" s="11"/>
      <c r="C80" s="11"/>
      <c r="D80" s="11"/>
      <c r="E80" s="11"/>
      <c r="F80" s="11"/>
    </row>
    <row r="81" spans="1:6" ht="15.75" customHeight="1">
      <c r="A81" s="10"/>
      <c r="B81" s="11"/>
      <c r="C81" s="11"/>
      <c r="D81" s="11"/>
      <c r="E81" s="11"/>
      <c r="F81" s="11"/>
    </row>
    <row r="82" spans="1:6" ht="15.75" customHeight="1">
      <c r="A82" s="10"/>
      <c r="B82" s="11"/>
      <c r="C82" s="11"/>
      <c r="D82" s="11"/>
      <c r="E82" s="11"/>
      <c r="F82" s="11"/>
    </row>
    <row r="83" spans="1:6" ht="15.75" customHeight="1">
      <c r="A83" s="10"/>
      <c r="B83" s="11"/>
      <c r="C83" s="11"/>
      <c r="D83" s="11"/>
      <c r="E83" s="11"/>
      <c r="F83" s="11"/>
    </row>
    <row r="84" spans="1:6" ht="15.75" customHeight="1">
      <c r="A84" s="10"/>
      <c r="B84" s="11"/>
      <c r="C84" s="11"/>
      <c r="D84" s="11"/>
      <c r="E84" s="11"/>
      <c r="F84" s="11"/>
    </row>
    <row r="85" spans="1:6" ht="15.75" customHeight="1">
      <c r="A85" s="10"/>
      <c r="B85" s="11"/>
      <c r="C85" s="11"/>
      <c r="D85" s="11"/>
      <c r="E85" s="11"/>
      <c r="F85" s="11"/>
    </row>
    <row r="86" spans="1:6" ht="15.75" customHeight="1">
      <c r="A86" s="10"/>
      <c r="B86" s="11"/>
      <c r="C86" s="11"/>
      <c r="D86" s="11"/>
      <c r="E86" s="11"/>
      <c r="F86" s="11"/>
    </row>
    <row r="87" spans="1:6" ht="15.75" customHeight="1">
      <c r="A87" s="10"/>
      <c r="B87" s="11"/>
      <c r="C87" s="11"/>
      <c r="D87" s="11"/>
      <c r="E87" s="11"/>
      <c r="F87" s="11"/>
    </row>
    <row r="88" spans="1:6" ht="15.75" customHeight="1">
      <c r="A88" s="10"/>
      <c r="B88" s="11"/>
      <c r="C88" s="11"/>
      <c r="D88" s="11"/>
      <c r="E88" s="11"/>
      <c r="F88" s="11"/>
    </row>
    <row r="89" spans="1:6" ht="15.75" customHeight="1">
      <c r="A89" s="10"/>
      <c r="B89" s="11"/>
      <c r="C89" s="11"/>
      <c r="D89" s="11"/>
      <c r="E89" s="11"/>
      <c r="F89" s="11"/>
    </row>
    <row r="90" spans="1:6" ht="15.75" customHeight="1">
      <c r="A90" s="10"/>
      <c r="B90" s="11"/>
      <c r="C90" s="11"/>
      <c r="D90" s="11"/>
      <c r="E90" s="11"/>
      <c r="F90" s="11"/>
    </row>
    <row r="91" spans="1:6" ht="15.75" customHeight="1">
      <c r="A91" s="10"/>
      <c r="B91" s="11"/>
      <c r="C91" s="11"/>
      <c r="D91" s="11"/>
      <c r="E91" s="11"/>
      <c r="F91" s="11"/>
    </row>
    <row r="92" spans="1:6" ht="15.75" customHeight="1">
      <c r="A92" s="10"/>
      <c r="B92" s="11"/>
      <c r="C92" s="11"/>
      <c r="D92" s="11"/>
      <c r="E92" s="11"/>
      <c r="F92" s="11"/>
    </row>
    <row r="93" spans="1:6" ht="15.75" customHeight="1">
      <c r="A93" s="10"/>
      <c r="B93" s="11"/>
      <c r="C93" s="11"/>
      <c r="D93" s="11"/>
      <c r="E93" s="11"/>
      <c r="F93" s="11"/>
    </row>
    <row r="94" spans="1:6" ht="15.75" customHeight="1">
      <c r="A94" s="10"/>
      <c r="B94" s="11"/>
      <c r="C94" s="11"/>
      <c r="D94" s="11"/>
      <c r="E94" s="11"/>
      <c r="F94" s="11"/>
    </row>
    <row r="95" spans="1:6" ht="15.75" customHeight="1">
      <c r="A95" s="10"/>
      <c r="B95" s="11"/>
      <c r="C95" s="11"/>
      <c r="D95" s="11"/>
      <c r="E95" s="11"/>
      <c r="F95" s="11"/>
    </row>
    <row r="96" spans="1:6" ht="15.75" customHeight="1">
      <c r="A96" s="10"/>
      <c r="B96" s="11"/>
      <c r="C96" s="11"/>
      <c r="D96" s="11"/>
      <c r="E96" s="11"/>
      <c r="F96" s="11"/>
    </row>
    <row r="97" spans="1:6" ht="15.75" customHeight="1">
      <c r="A97" s="10"/>
      <c r="B97" s="11"/>
      <c r="C97" s="11"/>
      <c r="D97" s="11"/>
      <c r="E97" s="11"/>
      <c r="F97" s="11"/>
    </row>
    <row r="98" spans="1:6" ht="15.75" customHeight="1">
      <c r="A98" s="10"/>
      <c r="B98" s="11"/>
      <c r="C98" s="11"/>
      <c r="D98" s="11"/>
      <c r="E98" s="11"/>
      <c r="F98" s="11"/>
    </row>
    <row r="99" spans="1:6" ht="15.75" customHeight="1">
      <c r="A99" s="10"/>
      <c r="B99" s="11"/>
      <c r="C99" s="11"/>
      <c r="D99" s="11"/>
      <c r="E99" s="11"/>
      <c r="F99" s="11"/>
    </row>
    <row r="100" spans="1:6" ht="15.75" customHeight="1">
      <c r="A100" s="10"/>
      <c r="B100" s="11"/>
      <c r="C100" s="11"/>
      <c r="D100" s="11"/>
      <c r="E100" s="11"/>
      <c r="F100" s="11"/>
    </row>
    <row r="101" spans="1:6" ht="15.75" customHeight="1">
      <c r="A101" s="10"/>
      <c r="B101" s="11"/>
      <c r="C101" s="11"/>
      <c r="D101" s="11"/>
      <c r="E101" s="11"/>
      <c r="F101" s="11"/>
    </row>
    <row r="102" spans="1:6" ht="15.75" customHeight="1">
      <c r="A102" s="10"/>
      <c r="B102" s="11"/>
      <c r="C102" s="11"/>
      <c r="D102" s="11"/>
      <c r="E102" s="11"/>
      <c r="F102" s="11"/>
    </row>
    <row r="103" spans="1:6" ht="15.75" customHeight="1">
      <c r="A103" s="10"/>
      <c r="B103" s="11"/>
      <c r="C103" s="11"/>
      <c r="D103" s="11"/>
      <c r="E103" s="11"/>
      <c r="F103" s="11"/>
    </row>
    <row r="104" spans="1:6" ht="15.75" customHeight="1">
      <c r="A104" s="10"/>
      <c r="B104" s="11"/>
      <c r="C104" s="11"/>
      <c r="D104" s="11"/>
      <c r="E104" s="11"/>
      <c r="F104" s="11"/>
    </row>
    <row r="105" spans="1:6" ht="15.75" customHeight="1">
      <c r="A105" s="10"/>
      <c r="B105" s="11"/>
      <c r="C105" s="11"/>
      <c r="D105" s="11"/>
      <c r="E105" s="11"/>
      <c r="F105" s="11"/>
    </row>
    <row r="106" spans="1:6" ht="15.75" customHeight="1">
      <c r="A106" s="10"/>
      <c r="B106" s="11"/>
      <c r="C106" s="11"/>
      <c r="D106" s="11"/>
      <c r="E106" s="11"/>
      <c r="F106" s="11"/>
    </row>
    <row r="107" spans="1:6" ht="15.75" customHeight="1">
      <c r="A107" s="10"/>
      <c r="B107" s="11"/>
      <c r="C107" s="11"/>
      <c r="D107" s="11"/>
      <c r="E107" s="11"/>
      <c r="F107" s="11"/>
    </row>
    <row r="108" spans="1:6" ht="15.75" customHeight="1">
      <c r="A108" s="10"/>
      <c r="B108" s="11"/>
      <c r="C108" s="11"/>
      <c r="D108" s="11"/>
      <c r="E108" s="11"/>
      <c r="F108" s="11"/>
    </row>
    <row r="109" spans="1:6" ht="15.75" customHeight="1">
      <c r="A109" s="10"/>
      <c r="B109" s="11"/>
      <c r="C109" s="11"/>
      <c r="D109" s="11"/>
      <c r="E109" s="11"/>
      <c r="F109" s="11"/>
    </row>
    <row r="110" spans="1:6" ht="15.75" customHeight="1">
      <c r="A110" s="10"/>
      <c r="B110" s="11"/>
      <c r="C110" s="11"/>
      <c r="D110" s="11"/>
      <c r="E110" s="11"/>
      <c r="F110" s="11"/>
    </row>
    <row r="111" spans="1:6" ht="15.75" customHeight="1">
      <c r="A111" s="10"/>
      <c r="B111" s="11"/>
      <c r="C111" s="11"/>
      <c r="D111" s="11"/>
      <c r="E111" s="11"/>
      <c r="F111" s="11"/>
    </row>
    <row r="112" spans="1:6" ht="15.75" customHeight="1">
      <c r="A112" s="10"/>
      <c r="B112" s="11"/>
      <c r="C112" s="11"/>
      <c r="D112" s="11"/>
      <c r="E112" s="11"/>
      <c r="F112" s="11"/>
    </row>
    <row r="113" spans="1:6" ht="15.75" customHeight="1">
      <c r="A113" s="10"/>
      <c r="B113" s="11"/>
      <c r="C113" s="11"/>
      <c r="D113" s="11"/>
      <c r="E113" s="11"/>
      <c r="F113" s="11"/>
    </row>
    <row r="114" spans="1:6" ht="15.75" customHeight="1">
      <c r="A114" s="10"/>
      <c r="B114" s="11"/>
      <c r="C114" s="11"/>
      <c r="D114" s="11"/>
      <c r="E114" s="11"/>
      <c r="F114" s="11"/>
    </row>
    <row r="115" spans="1:6" ht="15.75" customHeight="1">
      <c r="A115" s="10"/>
      <c r="B115" s="11"/>
      <c r="C115" s="11"/>
      <c r="D115" s="11"/>
      <c r="E115" s="11"/>
      <c r="F115" s="11"/>
    </row>
    <row r="116" spans="1:6" ht="15.75" customHeight="1">
      <c r="A116" s="10"/>
      <c r="B116" s="11"/>
      <c r="C116" s="11"/>
      <c r="D116" s="11"/>
      <c r="E116" s="11"/>
      <c r="F116" s="11"/>
    </row>
    <row r="117" spans="1:6" ht="15.75" customHeight="1">
      <c r="A117" s="10"/>
      <c r="B117" s="11"/>
      <c r="C117" s="11"/>
      <c r="D117" s="11"/>
      <c r="E117" s="11"/>
      <c r="F117" s="11"/>
    </row>
    <row r="118" spans="1:6" ht="15.75" customHeight="1">
      <c r="A118" s="10"/>
      <c r="B118" s="11"/>
      <c r="C118" s="11"/>
      <c r="D118" s="11"/>
      <c r="E118" s="11"/>
      <c r="F118" s="11"/>
    </row>
    <row r="119" spans="1:6" ht="15.75" customHeight="1">
      <c r="A119" s="10"/>
      <c r="B119" s="11"/>
      <c r="C119" s="11"/>
      <c r="D119" s="11"/>
      <c r="E119" s="11"/>
      <c r="F119" s="11"/>
    </row>
    <row r="120" spans="1:6" ht="15.75" customHeight="1">
      <c r="A120" s="10"/>
      <c r="B120" s="11"/>
      <c r="C120" s="11"/>
      <c r="D120" s="11"/>
      <c r="E120" s="11"/>
      <c r="F120" s="11"/>
    </row>
    <row r="121" spans="1:6" ht="15.75" customHeight="1">
      <c r="A121" s="10"/>
      <c r="B121" s="11"/>
      <c r="C121" s="11"/>
      <c r="D121" s="11"/>
      <c r="E121" s="11"/>
      <c r="F121" s="11"/>
    </row>
    <row r="122" spans="1:6" ht="15.75" customHeight="1">
      <c r="A122" s="10"/>
      <c r="B122" s="11"/>
      <c r="C122" s="11"/>
      <c r="D122" s="11"/>
      <c r="E122" s="11"/>
      <c r="F122" s="11"/>
    </row>
    <row r="123" spans="1:6" ht="15.75" customHeight="1">
      <c r="A123" s="10"/>
      <c r="B123" s="11"/>
      <c r="C123" s="11"/>
      <c r="D123" s="11"/>
      <c r="E123" s="11"/>
      <c r="F123" s="11"/>
    </row>
    <row r="124" spans="1:6" ht="15.75" customHeight="1">
      <c r="A124" s="10"/>
      <c r="B124" s="11"/>
      <c r="C124" s="11"/>
      <c r="D124" s="11"/>
      <c r="E124" s="11"/>
      <c r="F124" s="11"/>
    </row>
    <row r="125" spans="1:6" ht="15.75" customHeight="1">
      <c r="A125" s="10"/>
      <c r="B125" s="11"/>
      <c r="C125" s="11"/>
      <c r="D125" s="11"/>
      <c r="E125" s="11"/>
      <c r="F125" s="11"/>
    </row>
    <row r="126" spans="1:6" ht="15.75" customHeight="1">
      <c r="A126" s="10"/>
      <c r="B126" s="11"/>
      <c r="C126" s="11"/>
      <c r="D126" s="11"/>
      <c r="E126" s="11"/>
      <c r="F126" s="11"/>
    </row>
    <row r="127" spans="1:6" ht="15.75" customHeight="1">
      <c r="A127" s="10"/>
      <c r="B127" s="11"/>
      <c r="C127" s="11"/>
      <c r="D127" s="11"/>
      <c r="E127" s="11"/>
      <c r="F127" s="11"/>
    </row>
    <row r="128" spans="1:6" ht="15.75" customHeight="1">
      <c r="A128" s="10"/>
      <c r="B128" s="11"/>
      <c r="C128" s="11"/>
      <c r="D128" s="11"/>
      <c r="E128" s="11"/>
      <c r="F128" s="11"/>
    </row>
    <row r="129" spans="1:6" ht="15.75" customHeight="1">
      <c r="A129" s="10"/>
      <c r="B129" s="11"/>
      <c r="C129" s="11"/>
      <c r="D129" s="11"/>
      <c r="E129" s="11"/>
      <c r="F129" s="11"/>
    </row>
    <row r="130" spans="1:6" ht="15.75" customHeight="1">
      <c r="A130" s="10"/>
      <c r="B130" s="11"/>
      <c r="C130" s="11"/>
      <c r="D130" s="11"/>
      <c r="E130" s="11"/>
      <c r="F130" s="11"/>
    </row>
    <row r="131" spans="1:6" ht="15.75" customHeight="1">
      <c r="A131" s="10"/>
      <c r="B131" s="11"/>
      <c r="C131" s="11"/>
      <c r="D131" s="11"/>
      <c r="E131" s="11"/>
      <c r="F131" s="11"/>
    </row>
    <row r="132" spans="1:6" ht="15.75" customHeight="1">
      <c r="A132" s="10"/>
      <c r="B132" s="11"/>
      <c r="C132" s="11"/>
      <c r="D132" s="11"/>
      <c r="E132" s="11"/>
      <c r="F132" s="11"/>
    </row>
    <row r="133" spans="1:6" ht="15.75" customHeight="1">
      <c r="A133" s="10"/>
      <c r="B133" s="11"/>
      <c r="C133" s="11"/>
      <c r="D133" s="11"/>
      <c r="E133" s="11"/>
      <c r="F133" s="11"/>
    </row>
    <row r="134" spans="1:6" ht="15.75" customHeight="1">
      <c r="A134" s="10"/>
      <c r="B134" s="11"/>
      <c r="C134" s="11"/>
      <c r="D134" s="11"/>
      <c r="E134" s="11"/>
      <c r="F134" s="11"/>
    </row>
    <row r="135" spans="1:6" ht="15.75" customHeight="1">
      <c r="A135" s="10"/>
      <c r="B135" s="11"/>
      <c r="C135" s="11"/>
      <c r="D135" s="11"/>
      <c r="E135" s="11"/>
      <c r="F135" s="11"/>
    </row>
    <row r="136" spans="1:6" ht="15.75" customHeight="1">
      <c r="A136" s="10"/>
      <c r="B136" s="11"/>
      <c r="C136" s="11"/>
      <c r="D136" s="11"/>
      <c r="E136" s="11"/>
      <c r="F136" s="11"/>
    </row>
    <row r="137" spans="1:6" ht="15.75" customHeight="1">
      <c r="A137" s="10"/>
      <c r="B137" s="11"/>
      <c r="C137" s="11"/>
      <c r="D137" s="11"/>
      <c r="E137" s="11"/>
      <c r="F137" s="11"/>
    </row>
    <row r="138" spans="1:6" ht="15.75" customHeight="1">
      <c r="A138" s="10"/>
      <c r="B138" s="11"/>
      <c r="C138" s="11"/>
      <c r="D138" s="11"/>
      <c r="E138" s="11"/>
      <c r="F138" s="11"/>
    </row>
    <row r="139" spans="1:6" ht="15.75" customHeight="1">
      <c r="A139" s="10"/>
      <c r="B139" s="11"/>
      <c r="C139" s="11"/>
      <c r="D139" s="11"/>
      <c r="E139" s="11"/>
      <c r="F139" s="11"/>
    </row>
    <row r="140" spans="1:6" ht="15.75" customHeight="1">
      <c r="A140" s="10"/>
      <c r="B140" s="11"/>
      <c r="C140" s="11"/>
      <c r="D140" s="11"/>
      <c r="E140" s="11"/>
      <c r="F140" s="11"/>
    </row>
    <row r="141" spans="1:6" ht="15.75" customHeight="1">
      <c r="A141" s="10"/>
      <c r="B141" s="11"/>
      <c r="C141" s="11"/>
      <c r="D141" s="11"/>
      <c r="E141" s="11"/>
      <c r="F141" s="11"/>
    </row>
    <row r="142" spans="1:6" ht="15.75" customHeight="1">
      <c r="A142" s="10"/>
      <c r="B142" s="11"/>
      <c r="C142" s="11"/>
      <c r="D142" s="11"/>
      <c r="E142" s="11"/>
      <c r="F142" s="11"/>
    </row>
    <row r="143" spans="1:6" ht="15.75" customHeight="1">
      <c r="A143" s="10"/>
      <c r="B143" s="11"/>
      <c r="C143" s="11"/>
      <c r="D143" s="11"/>
      <c r="E143" s="11"/>
      <c r="F143" s="11"/>
    </row>
    <row r="144" spans="1:6" ht="15.75" customHeight="1">
      <c r="A144" s="10"/>
      <c r="B144" s="11"/>
      <c r="C144" s="11"/>
      <c r="D144" s="11"/>
      <c r="E144" s="11"/>
      <c r="F144" s="11"/>
    </row>
    <row r="145" spans="1:6" ht="15.75" customHeight="1">
      <c r="A145" s="10"/>
      <c r="B145" s="11"/>
      <c r="C145" s="11"/>
      <c r="D145" s="11"/>
      <c r="E145" s="11"/>
      <c r="F145" s="11"/>
    </row>
    <row r="146" spans="1:6" ht="15.75" customHeight="1">
      <c r="A146" s="10"/>
      <c r="B146" s="11"/>
      <c r="C146" s="11"/>
      <c r="D146" s="11"/>
      <c r="E146" s="11"/>
      <c r="F146" s="11"/>
    </row>
    <row r="147" spans="1:6" ht="15.75" customHeight="1">
      <c r="A147" s="10"/>
      <c r="B147" s="11"/>
      <c r="C147" s="11"/>
      <c r="D147" s="11"/>
      <c r="E147" s="11"/>
      <c r="F147" s="11"/>
    </row>
    <row r="148" spans="1:6" ht="15.75" customHeight="1">
      <c r="A148" s="10"/>
      <c r="B148" s="11"/>
      <c r="C148" s="11"/>
      <c r="D148" s="11"/>
      <c r="E148" s="11"/>
      <c r="F148" s="11"/>
    </row>
    <row r="149" spans="1:6" ht="15.75" customHeight="1">
      <c r="A149" s="10"/>
      <c r="B149" s="11"/>
      <c r="C149" s="11"/>
      <c r="D149" s="11"/>
      <c r="E149" s="11"/>
      <c r="F149" s="11"/>
    </row>
    <row r="150" spans="1:6" ht="15.75" customHeight="1">
      <c r="A150" s="10"/>
      <c r="B150" s="11"/>
      <c r="C150" s="11"/>
      <c r="D150" s="11"/>
      <c r="E150" s="11"/>
      <c r="F150" s="11"/>
    </row>
    <row r="151" spans="1:6" ht="15.75" customHeight="1">
      <c r="A151" s="10"/>
      <c r="B151" s="11"/>
      <c r="C151" s="11"/>
      <c r="D151" s="11"/>
      <c r="E151" s="11"/>
      <c r="F151" s="11"/>
    </row>
    <row r="152" spans="1:6" ht="15.75" customHeight="1">
      <c r="A152" s="10"/>
      <c r="B152" s="11"/>
      <c r="C152" s="11"/>
      <c r="D152" s="11"/>
      <c r="E152" s="11"/>
      <c r="F152" s="11"/>
    </row>
    <row r="153" spans="1:6" ht="15.75" customHeight="1">
      <c r="A153" s="10"/>
      <c r="B153" s="11"/>
      <c r="C153" s="11"/>
      <c r="D153" s="11"/>
      <c r="E153" s="11"/>
      <c r="F153" s="11"/>
    </row>
    <row r="154" spans="1:6" ht="15.75" customHeight="1">
      <c r="A154" s="10"/>
      <c r="B154" s="11"/>
      <c r="C154" s="11"/>
      <c r="D154" s="11"/>
      <c r="E154" s="11"/>
      <c r="F154" s="11"/>
    </row>
    <row r="155" spans="1:6" ht="15.75" customHeight="1">
      <c r="A155" s="10"/>
      <c r="B155" s="11"/>
      <c r="C155" s="11"/>
      <c r="D155" s="11"/>
      <c r="E155" s="11"/>
      <c r="F155" s="11"/>
    </row>
    <row r="156" spans="1:6" ht="15.75" customHeight="1">
      <c r="A156" s="10"/>
      <c r="B156" s="11"/>
      <c r="C156" s="11"/>
      <c r="D156" s="11"/>
      <c r="E156" s="11"/>
      <c r="F156" s="11"/>
    </row>
    <row r="157" spans="1:6" ht="15.75" customHeight="1">
      <c r="A157" s="10"/>
      <c r="B157" s="11"/>
      <c r="C157" s="11"/>
      <c r="D157" s="11"/>
      <c r="E157" s="11"/>
      <c r="F157" s="11"/>
    </row>
    <row r="158" spans="1:6" ht="15.75" customHeight="1">
      <c r="A158" s="10"/>
      <c r="B158" s="11"/>
      <c r="C158" s="11"/>
      <c r="D158" s="11"/>
      <c r="E158" s="11"/>
      <c r="F158" s="11"/>
    </row>
    <row r="159" spans="1:6" ht="15.75" customHeight="1">
      <c r="A159" s="10"/>
      <c r="B159" s="11"/>
      <c r="C159" s="11"/>
      <c r="D159" s="11"/>
      <c r="E159" s="11"/>
      <c r="F159" s="11"/>
    </row>
    <row r="160" spans="1:6" ht="15.75" customHeight="1">
      <c r="A160" s="10"/>
      <c r="B160" s="11"/>
      <c r="C160" s="11"/>
      <c r="D160" s="11"/>
      <c r="E160" s="11"/>
      <c r="F160" s="11"/>
    </row>
    <row r="161" spans="1:6" ht="15.75" customHeight="1">
      <c r="A161" s="10"/>
      <c r="B161" s="11"/>
      <c r="C161" s="11"/>
      <c r="D161" s="11"/>
      <c r="E161" s="11"/>
      <c r="F161" s="11"/>
    </row>
    <row r="162" spans="1:6" ht="15.75" customHeight="1">
      <c r="A162" s="10"/>
      <c r="B162" s="11"/>
      <c r="C162" s="11"/>
      <c r="D162" s="11"/>
      <c r="E162" s="11"/>
      <c r="F162" s="11"/>
    </row>
    <row r="163" spans="1:6" ht="15.75" customHeight="1">
      <c r="A163" s="10"/>
      <c r="B163" s="11"/>
      <c r="C163" s="11"/>
      <c r="D163" s="11"/>
      <c r="E163" s="11"/>
      <c r="F163" s="11"/>
    </row>
    <row r="164" spans="1:6" ht="15.75" customHeight="1">
      <c r="A164" s="10"/>
      <c r="B164" s="11"/>
      <c r="C164" s="11"/>
      <c r="D164" s="11"/>
      <c r="E164" s="11"/>
      <c r="F164" s="11"/>
    </row>
    <row r="165" spans="1:6" ht="15.75" customHeight="1">
      <c r="A165" s="10"/>
      <c r="B165" s="11"/>
      <c r="C165" s="11"/>
      <c r="D165" s="11"/>
      <c r="E165" s="11"/>
      <c r="F165" s="11"/>
    </row>
    <row r="166" spans="1:6" ht="15.75" customHeight="1">
      <c r="A166" s="10"/>
      <c r="B166" s="11"/>
      <c r="C166" s="11"/>
      <c r="D166" s="11"/>
      <c r="E166" s="11"/>
      <c r="F166" s="11"/>
    </row>
    <row r="167" spans="1:6" ht="15.75" customHeight="1">
      <c r="A167" s="10"/>
      <c r="B167" s="11"/>
      <c r="C167" s="11"/>
      <c r="D167" s="11"/>
      <c r="E167" s="11"/>
      <c r="F167" s="11"/>
    </row>
    <row r="168" spans="1:6" ht="15.75" customHeight="1">
      <c r="A168" s="10"/>
      <c r="B168" s="11"/>
      <c r="C168" s="11"/>
      <c r="D168" s="11"/>
      <c r="E168" s="11"/>
      <c r="F168" s="11"/>
    </row>
    <row r="169" spans="1:6" ht="15.75" customHeight="1">
      <c r="A169" s="10"/>
      <c r="B169" s="11"/>
      <c r="C169" s="11"/>
      <c r="D169" s="11"/>
      <c r="E169" s="11"/>
      <c r="F169" s="11"/>
    </row>
    <row r="170" spans="1:6" ht="15.75" customHeight="1">
      <c r="A170" s="10"/>
      <c r="B170" s="11"/>
      <c r="C170" s="11"/>
      <c r="D170" s="11"/>
      <c r="E170" s="11"/>
      <c r="F170" s="11"/>
    </row>
    <row r="171" spans="1:6" ht="15.75" customHeight="1">
      <c r="A171" s="10"/>
      <c r="B171" s="11"/>
      <c r="C171" s="11"/>
      <c r="D171" s="11"/>
      <c r="E171" s="11"/>
      <c r="F171" s="11"/>
    </row>
    <row r="172" spans="1:6" ht="15.75" customHeight="1">
      <c r="A172" s="10"/>
      <c r="B172" s="11"/>
      <c r="C172" s="11"/>
      <c r="D172" s="11"/>
      <c r="E172" s="11"/>
      <c r="F172" s="11"/>
    </row>
    <row r="173" spans="1:6" ht="15.75" customHeight="1">
      <c r="A173" s="10"/>
      <c r="B173" s="11"/>
      <c r="C173" s="11"/>
      <c r="D173" s="11"/>
      <c r="E173" s="11"/>
      <c r="F173" s="11"/>
    </row>
    <row r="174" spans="1:6" ht="15.75" customHeight="1">
      <c r="A174" s="10"/>
      <c r="B174" s="11"/>
      <c r="C174" s="11"/>
      <c r="D174" s="11"/>
      <c r="E174" s="11"/>
      <c r="F174" s="11"/>
    </row>
    <row r="175" spans="1:6" ht="15.75" customHeight="1">
      <c r="A175" s="10"/>
      <c r="B175" s="11"/>
      <c r="C175" s="11"/>
      <c r="D175" s="11"/>
      <c r="E175" s="11"/>
      <c r="F175" s="11"/>
    </row>
    <row r="176" spans="1:6" ht="15.75" customHeight="1">
      <c r="A176" s="10"/>
      <c r="B176" s="11"/>
      <c r="C176" s="11"/>
      <c r="D176" s="11"/>
      <c r="E176" s="11"/>
      <c r="F176" s="11"/>
    </row>
    <row r="177" spans="1:6" ht="15.75" customHeight="1">
      <c r="A177" s="10"/>
      <c r="B177" s="11"/>
      <c r="C177" s="11"/>
      <c r="D177" s="11"/>
      <c r="E177" s="11"/>
      <c r="F177" s="11"/>
    </row>
    <row r="178" spans="1:6" ht="15.75" customHeight="1">
      <c r="A178" s="10"/>
      <c r="B178" s="11"/>
      <c r="C178" s="11"/>
      <c r="D178" s="11"/>
      <c r="E178" s="11"/>
      <c r="F178" s="11"/>
    </row>
    <row r="179" spans="1:6" ht="15.75" customHeight="1">
      <c r="A179" s="10"/>
      <c r="B179" s="11"/>
      <c r="C179" s="11"/>
      <c r="D179" s="11"/>
      <c r="E179" s="11"/>
      <c r="F179" s="11"/>
    </row>
    <row r="180" spans="1:6" ht="15.75" customHeight="1">
      <c r="A180" s="10"/>
      <c r="B180" s="11"/>
      <c r="C180" s="11"/>
      <c r="D180" s="11"/>
      <c r="E180" s="11"/>
      <c r="F180" s="11"/>
    </row>
    <row r="181" spans="1:6" ht="15.75" customHeight="1">
      <c r="A181" s="10"/>
      <c r="B181" s="11"/>
      <c r="C181" s="11"/>
      <c r="D181" s="11"/>
      <c r="E181" s="11"/>
      <c r="F181" s="11"/>
    </row>
    <row r="182" spans="1:6" ht="15.75" customHeight="1">
      <c r="A182" s="10"/>
      <c r="B182" s="11"/>
      <c r="C182" s="11"/>
      <c r="D182" s="11"/>
      <c r="E182" s="11"/>
      <c r="F182" s="11"/>
    </row>
    <row r="183" spans="1:6" ht="15.75" customHeight="1">
      <c r="A183" s="10"/>
      <c r="B183" s="11"/>
      <c r="C183" s="11"/>
      <c r="D183" s="11"/>
      <c r="E183" s="11"/>
      <c r="F183" s="11"/>
    </row>
    <row r="184" spans="1:6" ht="15.75" customHeight="1">
      <c r="A184" s="10"/>
      <c r="B184" s="11"/>
      <c r="C184" s="11"/>
      <c r="D184" s="11"/>
      <c r="E184" s="11"/>
      <c r="F184" s="11"/>
    </row>
    <row r="185" spans="1:6" ht="15.75" customHeight="1">
      <c r="A185" s="10"/>
      <c r="B185" s="11"/>
      <c r="C185" s="11"/>
      <c r="D185" s="11"/>
      <c r="E185" s="11"/>
      <c r="F185" s="11"/>
    </row>
    <row r="186" spans="1:6" ht="15.75" customHeight="1">
      <c r="A186" s="10"/>
      <c r="B186" s="11"/>
      <c r="C186" s="11"/>
      <c r="D186" s="11"/>
      <c r="E186" s="11"/>
      <c r="F186" s="11"/>
    </row>
    <row r="187" spans="1:6" ht="15.75" customHeight="1">
      <c r="A187" s="10"/>
      <c r="B187" s="11"/>
      <c r="C187" s="11"/>
      <c r="D187" s="11"/>
      <c r="E187" s="11"/>
      <c r="F187" s="11"/>
    </row>
    <row r="188" spans="1:6" ht="15.75" customHeight="1">
      <c r="A188" s="10"/>
      <c r="B188" s="11"/>
      <c r="C188" s="11"/>
      <c r="D188" s="11"/>
      <c r="E188" s="11"/>
      <c r="F188" s="11"/>
    </row>
    <row r="189" spans="1:6" ht="15.75" customHeight="1">
      <c r="A189" s="10"/>
      <c r="B189" s="11"/>
      <c r="C189" s="11"/>
      <c r="D189" s="11"/>
      <c r="E189" s="11"/>
      <c r="F189" s="11"/>
    </row>
    <row r="190" spans="1:6" ht="15.75" customHeight="1">
      <c r="A190" s="10"/>
      <c r="B190" s="11"/>
      <c r="C190" s="11"/>
      <c r="D190" s="11"/>
      <c r="E190" s="11"/>
      <c r="F190" s="11"/>
    </row>
    <row r="191" spans="1:6" ht="15.75" customHeight="1">
      <c r="A191" s="10"/>
      <c r="B191" s="11"/>
      <c r="C191" s="11"/>
      <c r="D191" s="11"/>
      <c r="E191" s="11"/>
      <c r="F191" s="11"/>
    </row>
    <row r="192" spans="1:6" ht="15.75" customHeight="1">
      <c r="A192" s="10"/>
      <c r="B192" s="11"/>
      <c r="C192" s="11"/>
      <c r="D192" s="11"/>
      <c r="E192" s="11"/>
      <c r="F192" s="11"/>
    </row>
    <row r="193" spans="1:6" ht="15.75" customHeight="1">
      <c r="A193" s="10"/>
      <c r="B193" s="11"/>
      <c r="C193" s="11"/>
      <c r="D193" s="11"/>
      <c r="E193" s="11"/>
      <c r="F193" s="11"/>
    </row>
    <row r="194" spans="1:6" ht="15.75" customHeight="1">
      <c r="A194" s="10"/>
      <c r="B194" s="11"/>
      <c r="C194" s="11"/>
      <c r="D194" s="11"/>
      <c r="E194" s="11"/>
      <c r="F194" s="11"/>
    </row>
    <row r="195" spans="1:6" ht="15.75" customHeight="1">
      <c r="A195" s="10"/>
      <c r="B195" s="11"/>
      <c r="C195" s="11"/>
      <c r="D195" s="11"/>
      <c r="E195" s="11"/>
      <c r="F195" s="11"/>
    </row>
    <row r="196" spans="1:6" ht="15.75" customHeight="1">
      <c r="A196" s="10"/>
      <c r="B196" s="11"/>
      <c r="C196" s="11"/>
      <c r="D196" s="11"/>
      <c r="E196" s="11"/>
      <c r="F196" s="11"/>
    </row>
    <row r="197" spans="1:6" ht="15.75" customHeight="1">
      <c r="A197" s="10"/>
      <c r="B197" s="11"/>
      <c r="C197" s="11"/>
      <c r="D197" s="11"/>
      <c r="E197" s="11"/>
      <c r="F197" s="11"/>
    </row>
    <row r="198" spans="1:6" ht="15.75" customHeight="1">
      <c r="A198" s="10"/>
      <c r="B198" s="11"/>
      <c r="C198" s="11"/>
      <c r="D198" s="11"/>
      <c r="E198" s="11"/>
      <c r="F198" s="11"/>
    </row>
    <row r="199" spans="1:6" ht="15.75" customHeight="1">
      <c r="A199" s="10"/>
      <c r="B199" s="11"/>
      <c r="C199" s="11"/>
      <c r="D199" s="11"/>
      <c r="E199" s="11"/>
      <c r="F199" s="11"/>
    </row>
    <row r="200" spans="1:6" ht="15.75" customHeight="1">
      <c r="A200" s="10"/>
      <c r="B200" s="11"/>
      <c r="C200" s="11"/>
      <c r="D200" s="11"/>
      <c r="E200" s="11"/>
      <c r="F200" s="11"/>
    </row>
    <row r="201" spans="1:6" ht="15.75" customHeight="1">
      <c r="A201" s="10"/>
      <c r="B201" s="11"/>
      <c r="C201" s="11"/>
      <c r="D201" s="11"/>
      <c r="E201" s="11"/>
      <c r="F201" s="11"/>
    </row>
    <row r="202" spans="1:6" ht="15.75" customHeight="1">
      <c r="A202" s="10"/>
      <c r="B202" s="11"/>
      <c r="C202" s="11"/>
      <c r="D202" s="11"/>
      <c r="E202" s="11"/>
      <c r="F202" s="11"/>
    </row>
    <row r="203" spans="1:6" ht="15.75" customHeight="1">
      <c r="A203" s="10"/>
      <c r="B203" s="11"/>
      <c r="C203" s="11"/>
      <c r="D203" s="11"/>
      <c r="E203" s="11"/>
      <c r="F203" s="11"/>
    </row>
    <row r="204" spans="1:6" ht="15.75" customHeight="1">
      <c r="A204" s="10"/>
      <c r="B204" s="11"/>
      <c r="C204" s="11"/>
      <c r="D204" s="11"/>
      <c r="E204" s="11"/>
      <c r="F204" s="11"/>
    </row>
    <row r="205" spans="1:6" ht="15.75" customHeight="1">
      <c r="A205" s="10"/>
      <c r="B205" s="11"/>
      <c r="C205" s="11"/>
      <c r="D205" s="11"/>
      <c r="E205" s="11"/>
      <c r="F205" s="11"/>
    </row>
    <row r="206" spans="1:6" ht="15.75" customHeight="1">
      <c r="A206" s="10"/>
      <c r="B206" s="11"/>
      <c r="C206" s="11"/>
      <c r="D206" s="11"/>
      <c r="E206" s="11"/>
      <c r="F206" s="11"/>
    </row>
    <row r="207" spans="1:6" ht="15.75" customHeight="1">
      <c r="A207" s="10"/>
      <c r="B207" s="11"/>
      <c r="C207" s="11"/>
      <c r="D207" s="11"/>
      <c r="E207" s="11"/>
      <c r="F207" s="11"/>
    </row>
    <row r="208" spans="1:6" ht="15.75" customHeight="1">
      <c r="A208" s="10"/>
      <c r="B208" s="11"/>
      <c r="C208" s="11"/>
      <c r="D208" s="11"/>
      <c r="E208" s="11"/>
      <c r="F208" s="11"/>
    </row>
    <row r="209" spans="1:6" ht="15.75" customHeight="1">
      <c r="A209" s="10"/>
      <c r="B209" s="11"/>
      <c r="C209" s="11"/>
      <c r="D209" s="11"/>
      <c r="E209" s="11"/>
      <c r="F209" s="11"/>
    </row>
    <row r="210" spans="1:6" ht="15.75" customHeight="1">
      <c r="A210" s="10"/>
      <c r="B210" s="11"/>
      <c r="C210" s="11"/>
      <c r="D210" s="11"/>
      <c r="E210" s="11"/>
      <c r="F210" s="11"/>
    </row>
    <row r="211" spans="1:6" ht="15.75" customHeight="1">
      <c r="A211" s="10"/>
      <c r="B211" s="11"/>
      <c r="C211" s="11"/>
      <c r="D211" s="11"/>
      <c r="E211" s="11"/>
      <c r="F211" s="11"/>
    </row>
    <row r="212" spans="1:6" ht="15.75" customHeight="1">
      <c r="A212" s="10"/>
      <c r="B212" s="11"/>
      <c r="C212" s="11"/>
      <c r="D212" s="11"/>
      <c r="E212" s="11"/>
      <c r="F212" s="11"/>
    </row>
    <row r="213" spans="1:6" ht="15.75" customHeight="1">
      <c r="A213" s="10"/>
      <c r="B213" s="11"/>
      <c r="C213" s="11"/>
      <c r="D213" s="11"/>
      <c r="E213" s="11"/>
      <c r="F213" s="11"/>
    </row>
    <row r="214" spans="1:6" ht="15.75" customHeight="1">
      <c r="A214" s="10"/>
      <c r="B214" s="11"/>
      <c r="C214" s="11"/>
      <c r="D214" s="11"/>
      <c r="E214" s="11"/>
      <c r="F214" s="11"/>
    </row>
    <row r="215" spans="1:6" ht="15.75" customHeight="1">
      <c r="A215" s="10"/>
      <c r="B215" s="11"/>
      <c r="C215" s="11"/>
      <c r="D215" s="11"/>
      <c r="E215" s="11"/>
      <c r="F215" s="11"/>
    </row>
    <row r="216" spans="1:6" ht="15.75" customHeight="1">
      <c r="A216" s="10"/>
      <c r="B216" s="11"/>
      <c r="C216" s="11"/>
      <c r="D216" s="11"/>
      <c r="E216" s="11"/>
      <c r="F216" s="11"/>
    </row>
    <row r="217" spans="1:6" ht="15.75" customHeight="1">
      <c r="A217" s="10"/>
      <c r="B217" s="11"/>
      <c r="C217" s="11"/>
      <c r="D217" s="11"/>
      <c r="E217" s="11"/>
      <c r="F217" s="11"/>
    </row>
    <row r="218" spans="1:6" ht="15.75" customHeight="1">
      <c r="A218" s="10"/>
      <c r="B218" s="11"/>
      <c r="C218" s="11"/>
      <c r="D218" s="11"/>
      <c r="E218" s="11"/>
      <c r="F218" s="11"/>
    </row>
    <row r="219" spans="1:6" ht="15.75" customHeight="1">
      <c r="A219" s="10"/>
      <c r="B219" s="11"/>
      <c r="C219" s="11"/>
      <c r="D219" s="11"/>
      <c r="E219" s="11"/>
      <c r="F219" s="11"/>
    </row>
    <row r="220" spans="1:6" ht="15.75" customHeight="1">
      <c r="A220" s="10"/>
      <c r="B220" s="11"/>
      <c r="C220" s="11"/>
      <c r="D220" s="11"/>
      <c r="E220" s="11"/>
      <c r="F220" s="11"/>
    </row>
    <row r="221" spans="1:6" ht="15.75" customHeight="1">
      <c r="A221" s="10"/>
      <c r="B221" s="11"/>
      <c r="C221" s="11"/>
      <c r="D221" s="11"/>
      <c r="E221" s="11"/>
      <c r="F221" s="11"/>
    </row>
    <row r="222" spans="1:6" ht="15.75" customHeight="1">
      <c r="A222" s="10"/>
      <c r="B222" s="11"/>
      <c r="C222" s="11"/>
      <c r="D222" s="11"/>
      <c r="E222" s="11"/>
      <c r="F222" s="11"/>
    </row>
    <row r="223" spans="1:6" ht="15.75" customHeight="1">
      <c r="A223" s="10"/>
      <c r="B223" s="11"/>
      <c r="C223" s="11"/>
      <c r="D223" s="11"/>
      <c r="E223" s="11"/>
      <c r="F223" s="11"/>
    </row>
    <row r="224" spans="1:6" ht="15.75" customHeight="1">
      <c r="A224" s="10"/>
      <c r="B224" s="11"/>
      <c r="C224" s="11"/>
      <c r="D224" s="11"/>
      <c r="E224" s="11"/>
      <c r="F224" s="11"/>
    </row>
    <row r="225" spans="1:6" ht="15.75" customHeight="1">
      <c r="A225" s="10"/>
      <c r="B225" s="11"/>
      <c r="C225" s="11"/>
      <c r="D225" s="11"/>
      <c r="E225" s="11"/>
      <c r="F225" s="11"/>
    </row>
    <row r="226" spans="1:6" ht="15.75" customHeight="1">
      <c r="A226" s="10"/>
      <c r="B226" s="11"/>
      <c r="C226" s="11"/>
      <c r="D226" s="11"/>
      <c r="E226" s="11"/>
      <c r="F226" s="11"/>
    </row>
    <row r="227" spans="1:6" ht="15.75" customHeight="1">
      <c r="A227" s="10"/>
      <c r="B227" s="11"/>
      <c r="C227" s="11"/>
      <c r="D227" s="11"/>
      <c r="E227" s="11"/>
      <c r="F227" s="11"/>
    </row>
    <row r="228" spans="1:6" ht="15.75" customHeight="1">
      <c r="A228" s="10"/>
      <c r="B228" s="11"/>
      <c r="C228" s="11"/>
      <c r="D228" s="11"/>
      <c r="E228" s="11"/>
      <c r="F228" s="11"/>
    </row>
    <row r="229" spans="1:6" ht="15.75" customHeight="1">
      <c r="A229" s="10"/>
      <c r="B229" s="11"/>
      <c r="C229" s="11"/>
      <c r="D229" s="11"/>
      <c r="E229" s="11"/>
      <c r="F229" s="11"/>
    </row>
    <row r="230" spans="1:6" ht="15.75" customHeight="1">
      <c r="A230" s="10"/>
      <c r="B230" s="11"/>
      <c r="C230" s="11"/>
      <c r="D230" s="11"/>
      <c r="E230" s="11"/>
      <c r="F230" s="11"/>
    </row>
    <row r="231" spans="1:6" ht="15.75" customHeight="1">
      <c r="A231" s="10"/>
      <c r="B231" s="11"/>
      <c r="C231" s="11"/>
      <c r="D231" s="11"/>
      <c r="E231" s="11"/>
      <c r="F231" s="11"/>
    </row>
    <row r="232" spans="1:6" ht="15.75" customHeight="1">
      <c r="A232" s="10"/>
      <c r="B232" s="11"/>
      <c r="C232" s="11"/>
      <c r="D232" s="11"/>
      <c r="E232" s="11"/>
      <c r="F232" s="11"/>
    </row>
    <row r="233" spans="1:6" ht="15.75" customHeight="1">
      <c r="A233" s="10"/>
      <c r="B233" s="11"/>
      <c r="C233" s="11"/>
      <c r="D233" s="11"/>
      <c r="E233" s="11"/>
      <c r="F233" s="11"/>
    </row>
    <row r="234" spans="1:6" ht="15.75" customHeight="1">
      <c r="A234" s="10"/>
      <c r="B234" s="11"/>
      <c r="C234" s="11"/>
      <c r="D234" s="11"/>
      <c r="E234" s="11"/>
      <c r="F234" s="11"/>
    </row>
    <row r="235" spans="1:6" ht="15.75" customHeight="1">
      <c r="A235" s="10"/>
      <c r="B235" s="11"/>
      <c r="C235" s="11"/>
      <c r="D235" s="11"/>
      <c r="E235" s="11"/>
      <c r="F235" s="11"/>
    </row>
    <row r="236" spans="1:6" ht="15.75" customHeight="1">
      <c r="A236" s="10"/>
      <c r="B236" s="11"/>
      <c r="C236" s="11"/>
      <c r="D236" s="11"/>
      <c r="E236" s="11"/>
      <c r="F236" s="11"/>
    </row>
    <row r="237" spans="1:6" ht="15.75" customHeight="1">
      <c r="A237" s="10"/>
      <c r="B237" s="11"/>
      <c r="C237" s="11"/>
      <c r="D237" s="11"/>
      <c r="E237" s="11"/>
      <c r="F237" s="11"/>
    </row>
    <row r="238" spans="1:6" ht="15.75" customHeight="1">
      <c r="A238" s="10"/>
      <c r="B238" s="11"/>
      <c r="C238" s="11"/>
      <c r="D238" s="11"/>
      <c r="E238" s="11"/>
      <c r="F238" s="11"/>
    </row>
    <row r="239" spans="1:6" ht="15.75" customHeight="1">
      <c r="A239" s="10"/>
      <c r="B239" s="11"/>
      <c r="C239" s="11"/>
      <c r="D239" s="11"/>
      <c r="E239" s="11"/>
      <c r="F239" s="11"/>
    </row>
    <row r="240" spans="1:6" ht="15.75" customHeight="1">
      <c r="A240" s="10"/>
      <c r="B240" s="11"/>
      <c r="C240" s="11"/>
      <c r="D240" s="11"/>
      <c r="E240" s="11"/>
      <c r="F240" s="11"/>
    </row>
    <row r="241" spans="1:6" ht="15.75" customHeight="1">
      <c r="A241" s="10"/>
      <c r="B241" s="11"/>
      <c r="C241" s="11"/>
      <c r="D241" s="11"/>
      <c r="E241" s="11"/>
      <c r="F241" s="11"/>
    </row>
    <row r="242" spans="1:6" ht="15.75" customHeight="1">
      <c r="A242" s="10"/>
      <c r="B242" s="11"/>
      <c r="C242" s="11"/>
      <c r="D242" s="11"/>
      <c r="E242" s="11"/>
      <c r="F242" s="11"/>
    </row>
    <row r="243" spans="1:6" ht="15.75" customHeight="1">
      <c r="A243" s="10"/>
      <c r="B243" s="11"/>
      <c r="C243" s="11"/>
      <c r="D243" s="11"/>
      <c r="E243" s="11"/>
      <c r="F243" s="11"/>
    </row>
    <row r="244" spans="1:6" ht="15.75" customHeight="1">
      <c r="A244" s="10"/>
      <c r="B244" s="11"/>
      <c r="C244" s="11"/>
      <c r="D244" s="11"/>
      <c r="E244" s="11"/>
      <c r="F244" s="11"/>
    </row>
    <row r="245" spans="1:6" ht="15.75" customHeight="1">
      <c r="A245" s="10"/>
      <c r="B245" s="11"/>
      <c r="C245" s="11"/>
      <c r="D245" s="11"/>
      <c r="E245" s="11"/>
      <c r="F245" s="11"/>
    </row>
    <row r="246" spans="1:6" ht="15.75" customHeight="1">
      <c r="A246" s="10"/>
      <c r="B246" s="11"/>
      <c r="C246" s="11"/>
      <c r="D246" s="11"/>
      <c r="E246" s="11"/>
      <c r="F246" s="11"/>
    </row>
    <row r="247" spans="1:6" ht="15.75" customHeight="1">
      <c r="A247" s="10"/>
      <c r="B247" s="11"/>
      <c r="C247" s="11"/>
      <c r="D247" s="11"/>
      <c r="E247" s="11"/>
      <c r="F247" s="11"/>
    </row>
    <row r="248" spans="1:6" ht="15.75" customHeight="1">
      <c r="A248" s="10"/>
      <c r="B248" s="11"/>
      <c r="C248" s="11"/>
      <c r="D248" s="11"/>
      <c r="E248" s="11"/>
      <c r="F248" s="11"/>
    </row>
    <row r="249" spans="1:6" ht="15.75" customHeight="1">
      <c r="A249" s="10"/>
      <c r="B249" s="11"/>
      <c r="C249" s="11"/>
      <c r="D249" s="11"/>
      <c r="E249" s="11"/>
      <c r="F249" s="11"/>
    </row>
    <row r="250" spans="1:6" ht="15.75" customHeight="1">
      <c r="A250" s="10"/>
      <c r="B250" s="11"/>
      <c r="C250" s="11"/>
      <c r="D250" s="11"/>
      <c r="E250" s="11"/>
      <c r="F250" s="11"/>
    </row>
    <row r="251" spans="1:6" ht="15.75" customHeight="1">
      <c r="A251" s="10"/>
      <c r="B251" s="11"/>
      <c r="C251" s="11"/>
      <c r="D251" s="11"/>
      <c r="E251" s="11"/>
      <c r="F251" s="11"/>
    </row>
    <row r="252" spans="1:6" ht="15.75" customHeight="1">
      <c r="A252" s="10"/>
      <c r="B252" s="11"/>
      <c r="C252" s="11"/>
      <c r="D252" s="11"/>
      <c r="E252" s="11"/>
      <c r="F252" s="11"/>
    </row>
    <row r="253" spans="1:6" ht="15.75" customHeight="1">
      <c r="A253" s="10"/>
      <c r="B253" s="11"/>
      <c r="C253" s="11"/>
      <c r="D253" s="11"/>
      <c r="E253" s="11"/>
      <c r="F253" s="11"/>
    </row>
    <row r="254" spans="1:6" ht="15.75" customHeight="1">
      <c r="A254" s="10"/>
      <c r="B254" s="11"/>
      <c r="C254" s="11"/>
      <c r="D254" s="11"/>
      <c r="E254" s="11"/>
      <c r="F254" s="11"/>
    </row>
    <row r="255" spans="1:6" ht="15.75" customHeight="1">
      <c r="A255" s="10"/>
      <c r="B255" s="11"/>
      <c r="C255" s="11"/>
      <c r="D255" s="11"/>
      <c r="E255" s="11"/>
      <c r="F255" s="11"/>
    </row>
    <row r="256" spans="1:6" ht="15.75" customHeight="1">
      <c r="A256" s="10"/>
      <c r="B256" s="11"/>
      <c r="C256" s="11"/>
      <c r="D256" s="11"/>
      <c r="E256" s="11"/>
      <c r="F256" s="11"/>
    </row>
    <row r="257" spans="1:6" ht="15.75" customHeight="1">
      <c r="A257" s="10"/>
      <c r="B257" s="11"/>
      <c r="C257" s="11"/>
      <c r="D257" s="11"/>
      <c r="E257" s="11"/>
      <c r="F257" s="11"/>
    </row>
    <row r="258" spans="1:6" ht="15.75" customHeight="1">
      <c r="A258" s="10"/>
      <c r="B258" s="11"/>
      <c r="C258" s="11"/>
      <c r="D258" s="11"/>
      <c r="E258" s="11"/>
      <c r="F258" s="11"/>
    </row>
    <row r="259" spans="1:6" ht="15.75" customHeight="1">
      <c r="A259" s="10"/>
      <c r="B259" s="11"/>
      <c r="C259" s="11"/>
      <c r="D259" s="11"/>
      <c r="E259" s="11"/>
      <c r="F259" s="11"/>
    </row>
    <row r="260" spans="1:6" ht="15.75" customHeight="1">
      <c r="A260" s="10"/>
      <c r="B260" s="11"/>
      <c r="C260" s="11"/>
      <c r="D260" s="11"/>
      <c r="E260" s="11"/>
      <c r="F260" s="11"/>
    </row>
    <row r="261" spans="1:6" ht="15.75" customHeight="1">
      <c r="A261" s="10"/>
      <c r="B261" s="11"/>
      <c r="C261" s="11"/>
      <c r="D261" s="11"/>
      <c r="E261" s="11"/>
      <c r="F261" s="11"/>
    </row>
    <row r="262" spans="1:6" ht="15.75" customHeight="1">
      <c r="A262" s="10"/>
      <c r="B262" s="11"/>
      <c r="C262" s="11"/>
      <c r="D262" s="11"/>
      <c r="E262" s="11"/>
      <c r="F262" s="11"/>
    </row>
    <row r="263" spans="1:6" ht="15.75" customHeight="1">
      <c r="A263" s="10"/>
      <c r="B263" s="11"/>
      <c r="C263" s="11"/>
      <c r="D263" s="11"/>
      <c r="E263" s="11"/>
      <c r="F263" s="11"/>
    </row>
    <row r="264" spans="1:6" ht="15.75" customHeight="1">
      <c r="A264" s="10"/>
      <c r="B264" s="11"/>
      <c r="C264" s="11"/>
      <c r="D264" s="11"/>
      <c r="E264" s="11"/>
      <c r="F264" s="11"/>
    </row>
    <row r="265" spans="1:6" ht="15.75" customHeight="1">
      <c r="A265" s="10"/>
      <c r="B265" s="11"/>
      <c r="C265" s="11"/>
      <c r="D265" s="11"/>
      <c r="E265" s="11"/>
      <c r="F265" s="11"/>
    </row>
    <row r="266" spans="1:6" ht="15.75" customHeight="1">
      <c r="A266" s="10"/>
      <c r="B266" s="11"/>
      <c r="C266" s="11"/>
      <c r="D266" s="11"/>
      <c r="E266" s="11"/>
      <c r="F266" s="11"/>
    </row>
    <row r="267" spans="1:6" ht="15.75" customHeight="1">
      <c r="A267" s="10"/>
      <c r="B267" s="11"/>
      <c r="C267" s="11"/>
      <c r="D267" s="11"/>
      <c r="E267" s="11"/>
      <c r="F267" s="11"/>
    </row>
    <row r="268" spans="1:6" ht="15.75" customHeight="1">
      <c r="A268" s="10"/>
      <c r="B268" s="11"/>
      <c r="C268" s="11"/>
      <c r="D268" s="11"/>
      <c r="E268" s="11"/>
      <c r="F268" s="11"/>
    </row>
    <row r="269" spans="1:6" ht="15.75" customHeight="1">
      <c r="A269" s="10"/>
      <c r="B269" s="11"/>
      <c r="C269" s="11"/>
      <c r="D269" s="11"/>
      <c r="E269" s="11"/>
      <c r="F269" s="11"/>
    </row>
    <row r="270" spans="1:6" ht="15.75" customHeight="1">
      <c r="A270" s="10"/>
      <c r="B270" s="11"/>
      <c r="C270" s="11"/>
      <c r="D270" s="11"/>
      <c r="E270" s="11"/>
      <c r="F270" s="11"/>
    </row>
    <row r="271" spans="1:6" ht="15.75" customHeight="1">
      <c r="A271" s="10"/>
      <c r="B271" s="11"/>
      <c r="C271" s="11"/>
      <c r="D271" s="11"/>
      <c r="E271" s="11"/>
      <c r="F271" s="11"/>
    </row>
    <row r="272" spans="1:6" ht="15.75" customHeight="1">
      <c r="A272" s="10"/>
      <c r="B272" s="11"/>
      <c r="C272" s="11"/>
      <c r="D272" s="11"/>
      <c r="E272" s="11"/>
      <c r="F272" s="11"/>
    </row>
    <row r="273" spans="1:6" ht="15.75" customHeight="1">
      <c r="A273" s="10"/>
      <c r="B273" s="11"/>
      <c r="C273" s="11"/>
      <c r="D273" s="11"/>
      <c r="E273" s="11"/>
      <c r="F273" s="11"/>
    </row>
    <row r="274" spans="1:6" ht="15.75" customHeight="1">
      <c r="A274" s="10"/>
      <c r="B274" s="11"/>
      <c r="C274" s="11"/>
      <c r="D274" s="11"/>
      <c r="E274" s="11"/>
      <c r="F274" s="11"/>
    </row>
    <row r="275" spans="1:6" ht="15.75" customHeight="1">
      <c r="A275" s="10"/>
      <c r="B275" s="11"/>
      <c r="C275" s="11"/>
      <c r="D275" s="11"/>
      <c r="E275" s="11"/>
      <c r="F275" s="11"/>
    </row>
    <row r="276" spans="1:6" ht="15.75" customHeight="1">
      <c r="A276" s="10"/>
      <c r="B276" s="11"/>
      <c r="C276" s="11"/>
      <c r="D276" s="11"/>
      <c r="E276" s="11"/>
      <c r="F276" s="11"/>
    </row>
    <row r="277" spans="1:6" ht="15.75" customHeight="1">
      <c r="A277" s="10"/>
      <c r="B277" s="11"/>
      <c r="C277" s="11"/>
      <c r="D277" s="11"/>
      <c r="E277" s="11"/>
      <c r="F277" s="11"/>
    </row>
    <row r="278" spans="1:6" ht="15.75" customHeight="1">
      <c r="A278" s="10"/>
      <c r="B278" s="11"/>
      <c r="C278" s="11"/>
      <c r="D278" s="11"/>
      <c r="E278" s="11"/>
      <c r="F278" s="11"/>
    </row>
    <row r="279" spans="1:6" ht="15.75" customHeight="1">
      <c r="A279" s="10"/>
      <c r="B279" s="11"/>
      <c r="C279" s="11"/>
      <c r="D279" s="11"/>
      <c r="E279" s="11"/>
      <c r="F279" s="11"/>
    </row>
    <row r="280" spans="1:6" ht="15.75" customHeight="1">
      <c r="A280" s="10"/>
      <c r="B280" s="11"/>
      <c r="C280" s="11"/>
      <c r="D280" s="11"/>
      <c r="E280" s="11"/>
      <c r="F280" s="11"/>
    </row>
    <row r="281" spans="1:6" ht="15.75" customHeight="1">
      <c r="A281" s="10"/>
      <c r="B281" s="11"/>
      <c r="C281" s="11"/>
      <c r="D281" s="11"/>
      <c r="E281" s="11"/>
      <c r="F281" s="11"/>
    </row>
    <row r="282" spans="1:6" ht="15.75" customHeight="1">
      <c r="A282" s="10"/>
      <c r="B282" s="11"/>
      <c r="C282" s="11"/>
      <c r="D282" s="11"/>
      <c r="E282" s="11"/>
      <c r="F282" s="11"/>
    </row>
    <row r="283" spans="1:6" ht="15.75" customHeight="1">
      <c r="A283" s="10"/>
      <c r="B283" s="11"/>
      <c r="C283" s="11"/>
      <c r="D283" s="11"/>
      <c r="E283" s="11"/>
      <c r="F283" s="11"/>
    </row>
    <row r="284" spans="1:6" ht="15.75" customHeight="1">
      <c r="A284" s="10"/>
      <c r="B284" s="11"/>
      <c r="C284" s="11"/>
      <c r="D284" s="11"/>
      <c r="E284" s="11"/>
      <c r="F284" s="11"/>
    </row>
    <row r="285" spans="1:6" ht="15.75" customHeight="1">
      <c r="A285" s="10"/>
      <c r="B285" s="11"/>
      <c r="C285" s="11"/>
      <c r="D285" s="11"/>
      <c r="E285" s="11"/>
      <c r="F285" s="11"/>
    </row>
    <row r="286" spans="1:6" ht="15.75" customHeight="1">
      <c r="A286" s="10"/>
      <c r="B286" s="11"/>
      <c r="C286" s="11"/>
      <c r="D286" s="11"/>
      <c r="E286" s="11"/>
      <c r="F286" s="11"/>
    </row>
    <row r="287" spans="1:6" ht="15.75" customHeight="1">
      <c r="A287" s="10"/>
      <c r="B287" s="11"/>
      <c r="C287" s="11"/>
      <c r="D287" s="11"/>
      <c r="E287" s="11"/>
      <c r="F287" s="11"/>
    </row>
    <row r="288" spans="1:6" ht="15.75" customHeight="1">
      <c r="A288" s="10"/>
      <c r="B288" s="11"/>
      <c r="C288" s="11"/>
      <c r="D288" s="11"/>
      <c r="E288" s="11"/>
      <c r="F288" s="11"/>
    </row>
    <row r="289" spans="1:6" ht="15.75" customHeight="1">
      <c r="A289" s="10"/>
      <c r="B289" s="11"/>
      <c r="C289" s="11"/>
      <c r="D289" s="11"/>
      <c r="E289" s="11"/>
      <c r="F289" s="11"/>
    </row>
    <row r="290" spans="1:6" ht="15.75" customHeight="1">
      <c r="A290" s="10"/>
      <c r="B290" s="11"/>
      <c r="C290" s="11"/>
      <c r="D290" s="11"/>
      <c r="E290" s="11"/>
      <c r="F290" s="11"/>
    </row>
    <row r="291" spans="1:6" ht="15.75" customHeight="1">
      <c r="A291" s="10"/>
      <c r="B291" s="11"/>
      <c r="C291" s="11"/>
      <c r="D291" s="11"/>
      <c r="E291" s="11"/>
      <c r="F291" s="11"/>
    </row>
    <row r="292" spans="1:6" ht="15.75" customHeight="1">
      <c r="A292" s="10"/>
      <c r="B292" s="11"/>
      <c r="C292" s="11"/>
      <c r="D292" s="11"/>
      <c r="E292" s="11"/>
      <c r="F292" s="11"/>
    </row>
    <row r="293" spans="1:6" ht="15.75" customHeight="1">
      <c r="A293" s="10"/>
      <c r="B293" s="11"/>
      <c r="C293" s="11"/>
      <c r="D293" s="11"/>
      <c r="E293" s="11"/>
      <c r="F293" s="11"/>
    </row>
    <row r="294" spans="1:6" ht="15.75" customHeight="1">
      <c r="A294" s="10"/>
      <c r="B294" s="11"/>
      <c r="C294" s="11"/>
      <c r="D294" s="11"/>
      <c r="E294" s="11"/>
      <c r="F294" s="11"/>
    </row>
    <row r="295" spans="1:6" ht="15.75" customHeight="1">
      <c r="A295" s="10"/>
      <c r="B295" s="11"/>
      <c r="C295" s="11"/>
      <c r="D295" s="11"/>
      <c r="E295" s="11"/>
      <c r="F295" s="11"/>
    </row>
    <row r="296" spans="1:6" ht="15.75" customHeight="1">
      <c r="A296" s="10"/>
      <c r="B296" s="11"/>
      <c r="C296" s="11"/>
      <c r="D296" s="11"/>
      <c r="E296" s="11"/>
      <c r="F296" s="11"/>
    </row>
    <row r="297" spans="1:6" ht="15.75" customHeight="1">
      <c r="A297" s="10"/>
      <c r="B297" s="11"/>
      <c r="C297" s="11"/>
      <c r="D297" s="11"/>
      <c r="E297" s="11"/>
      <c r="F297" s="11"/>
    </row>
    <row r="298" spans="1:6" ht="15.75" customHeight="1">
      <c r="A298" s="10"/>
      <c r="B298" s="11"/>
      <c r="C298" s="11"/>
      <c r="D298" s="11"/>
      <c r="E298" s="11"/>
      <c r="F298" s="11"/>
    </row>
    <row r="299" spans="1:6" ht="15.75" customHeight="1">
      <c r="A299" s="10"/>
      <c r="B299" s="11"/>
      <c r="C299" s="11"/>
      <c r="D299" s="11"/>
      <c r="E299" s="11"/>
      <c r="F299" s="11"/>
    </row>
    <row r="300" spans="1:6" ht="15.75" customHeight="1">
      <c r="A300" s="10"/>
      <c r="B300" s="11"/>
      <c r="C300" s="11"/>
      <c r="D300" s="11"/>
      <c r="E300" s="11"/>
      <c r="F300" s="11"/>
    </row>
    <row r="301" spans="1:6" ht="15.75" customHeight="1">
      <c r="A301" s="10"/>
      <c r="B301" s="11"/>
      <c r="C301" s="11"/>
      <c r="D301" s="11"/>
      <c r="E301" s="11"/>
      <c r="F301" s="11"/>
    </row>
    <row r="302" spans="1:6" ht="15.75" customHeight="1">
      <c r="A302" s="10"/>
      <c r="B302" s="11"/>
      <c r="C302" s="11"/>
      <c r="D302" s="11"/>
      <c r="E302" s="11"/>
      <c r="F302" s="11"/>
    </row>
    <row r="303" spans="1:6" ht="15.75" customHeight="1">
      <c r="A303" s="10"/>
      <c r="B303" s="11"/>
      <c r="C303" s="11"/>
      <c r="D303" s="11"/>
      <c r="E303" s="11"/>
      <c r="F303" s="11"/>
    </row>
    <row r="304" spans="1:6" ht="15.75" customHeight="1">
      <c r="A304" s="10"/>
      <c r="B304" s="11"/>
      <c r="C304" s="11"/>
      <c r="D304" s="11"/>
      <c r="E304" s="11"/>
      <c r="F304" s="11"/>
    </row>
    <row r="305" spans="1:6" ht="15.75" customHeight="1">
      <c r="A305" s="10"/>
      <c r="B305" s="11"/>
      <c r="C305" s="11"/>
      <c r="D305" s="11"/>
      <c r="E305" s="11"/>
      <c r="F305" s="11"/>
    </row>
    <row r="306" spans="1:6" ht="15.75" customHeight="1">
      <c r="A306" s="10"/>
      <c r="B306" s="11"/>
      <c r="C306" s="11"/>
      <c r="D306" s="11"/>
      <c r="E306" s="11"/>
      <c r="F306" s="11"/>
    </row>
    <row r="307" spans="1:6" ht="15.75" customHeight="1">
      <c r="A307" s="10"/>
      <c r="B307" s="11"/>
      <c r="C307" s="11"/>
      <c r="D307" s="11"/>
      <c r="E307" s="11"/>
      <c r="F307" s="11"/>
    </row>
    <row r="308" spans="1:6" ht="15.75" customHeight="1">
      <c r="A308" s="10"/>
      <c r="B308" s="11"/>
      <c r="C308" s="11"/>
      <c r="D308" s="11"/>
      <c r="E308" s="11"/>
      <c r="F308" s="11"/>
    </row>
    <row r="309" spans="1:6" ht="15.75" customHeight="1">
      <c r="A309" s="10"/>
      <c r="B309" s="11"/>
      <c r="C309" s="11"/>
      <c r="D309" s="11"/>
      <c r="E309" s="11"/>
      <c r="F309" s="11"/>
    </row>
    <row r="310" spans="1:6" ht="15.75" customHeight="1">
      <c r="A310" s="10"/>
      <c r="B310" s="11"/>
      <c r="C310" s="11"/>
      <c r="D310" s="11"/>
      <c r="E310" s="11"/>
      <c r="F310" s="11"/>
    </row>
    <row r="311" spans="1:6" ht="15.75" customHeight="1">
      <c r="A311" s="10"/>
      <c r="B311" s="11"/>
      <c r="C311" s="11"/>
      <c r="D311" s="11"/>
      <c r="E311" s="11"/>
      <c r="F311" s="11"/>
    </row>
    <row r="312" spans="1:6" ht="15.75" customHeight="1">
      <c r="A312" s="10"/>
      <c r="B312" s="11"/>
      <c r="C312" s="11"/>
      <c r="D312" s="11"/>
      <c r="E312" s="11"/>
      <c r="F312" s="11"/>
    </row>
    <row r="313" spans="1:6" ht="15.75" customHeight="1">
      <c r="A313" s="10"/>
      <c r="B313" s="11"/>
      <c r="C313" s="11"/>
      <c r="D313" s="11"/>
      <c r="E313" s="11"/>
      <c r="F313" s="11"/>
    </row>
    <row r="314" spans="1:6" ht="15.75" customHeight="1">
      <c r="A314" s="10"/>
      <c r="B314" s="11"/>
      <c r="C314" s="11"/>
      <c r="D314" s="11"/>
      <c r="E314" s="11"/>
      <c r="F314" s="11"/>
    </row>
    <row r="315" spans="1:6" ht="15.75" customHeight="1">
      <c r="A315" s="10"/>
      <c r="B315" s="11"/>
      <c r="C315" s="11"/>
      <c r="D315" s="11"/>
      <c r="E315" s="11"/>
      <c r="F315" s="11"/>
    </row>
    <row r="316" spans="1:6" ht="15.75" customHeight="1">
      <c r="A316" s="10"/>
      <c r="B316" s="11"/>
      <c r="C316" s="11"/>
      <c r="D316" s="11"/>
      <c r="E316" s="11"/>
      <c r="F316" s="11"/>
    </row>
    <row r="317" spans="1:6" ht="15.75" customHeight="1">
      <c r="A317" s="10"/>
      <c r="B317" s="11"/>
      <c r="C317" s="11"/>
      <c r="D317" s="11"/>
      <c r="E317" s="11"/>
      <c r="F317" s="11"/>
    </row>
    <row r="318" spans="1:6" ht="15.75" customHeight="1">
      <c r="A318" s="10"/>
      <c r="B318" s="11"/>
      <c r="C318" s="11"/>
      <c r="D318" s="11"/>
      <c r="E318" s="11"/>
      <c r="F318" s="11"/>
    </row>
    <row r="319" spans="1:6" ht="15.75" customHeight="1">
      <c r="A319" s="10"/>
      <c r="B319" s="11"/>
      <c r="C319" s="11"/>
      <c r="D319" s="11"/>
      <c r="E319" s="11"/>
      <c r="F319" s="11"/>
    </row>
    <row r="320" spans="1:6" ht="15.75" customHeight="1">
      <c r="A320" s="10"/>
      <c r="B320" s="11"/>
      <c r="C320" s="11"/>
      <c r="D320" s="11"/>
      <c r="E320" s="11"/>
      <c r="F320" s="11"/>
    </row>
    <row r="321" spans="1:6" ht="15.75" customHeight="1">
      <c r="A321" s="10"/>
      <c r="B321" s="11"/>
      <c r="C321" s="11"/>
      <c r="D321" s="11"/>
      <c r="E321" s="11"/>
      <c r="F321" s="11"/>
    </row>
    <row r="322" spans="1:6" ht="15.75" customHeight="1">
      <c r="A322" s="10"/>
      <c r="B322" s="11"/>
      <c r="C322" s="11"/>
      <c r="D322" s="11"/>
      <c r="E322" s="11"/>
      <c r="F322" s="11"/>
    </row>
    <row r="323" spans="1:6" ht="15.75" customHeight="1">
      <c r="A323" s="10"/>
      <c r="B323" s="11"/>
      <c r="C323" s="11"/>
      <c r="D323" s="11"/>
      <c r="E323" s="11"/>
      <c r="F323" s="11"/>
    </row>
    <row r="324" spans="1:6" ht="15.75" customHeight="1">
      <c r="A324" s="10"/>
      <c r="B324" s="11"/>
      <c r="C324" s="11"/>
      <c r="D324" s="11"/>
      <c r="E324" s="11"/>
      <c r="F324" s="11"/>
    </row>
    <row r="325" spans="1:6" ht="15.75" customHeight="1">
      <c r="A325" s="10"/>
      <c r="B325" s="11"/>
      <c r="C325" s="11"/>
      <c r="D325" s="11"/>
      <c r="E325" s="11"/>
      <c r="F325" s="11"/>
    </row>
    <row r="326" spans="1:6" ht="15.75" customHeight="1">
      <c r="A326" s="10"/>
      <c r="B326" s="11"/>
      <c r="C326" s="11"/>
      <c r="D326" s="11"/>
      <c r="E326" s="11"/>
      <c r="F326" s="11"/>
    </row>
    <row r="327" spans="1:6" ht="15.75" customHeight="1">
      <c r="A327" s="10"/>
      <c r="B327" s="11"/>
      <c r="C327" s="11"/>
      <c r="D327" s="11"/>
      <c r="E327" s="11"/>
      <c r="F327" s="11"/>
    </row>
    <row r="328" spans="1:6" ht="15.75" customHeight="1">
      <c r="A328" s="10"/>
      <c r="B328" s="11"/>
      <c r="C328" s="11"/>
      <c r="D328" s="11"/>
      <c r="E328" s="11"/>
      <c r="F328" s="11"/>
    </row>
    <row r="329" spans="1:6" ht="15.75" customHeight="1">
      <c r="A329" s="10"/>
      <c r="B329" s="11"/>
      <c r="C329" s="11"/>
      <c r="D329" s="11"/>
      <c r="E329" s="11"/>
      <c r="F329" s="11"/>
    </row>
    <row r="330" spans="1:6" ht="15.75" customHeight="1">
      <c r="A330" s="10"/>
      <c r="B330" s="11"/>
      <c r="C330" s="11"/>
      <c r="D330" s="11"/>
      <c r="E330" s="11"/>
      <c r="F330" s="11"/>
    </row>
    <row r="331" spans="1:6" ht="15.75" customHeight="1">
      <c r="A331" s="10"/>
      <c r="B331" s="11"/>
      <c r="C331" s="11"/>
      <c r="D331" s="11"/>
      <c r="E331" s="11"/>
      <c r="F331" s="11"/>
    </row>
    <row r="332" spans="1:6" ht="15.75" customHeight="1">
      <c r="A332" s="10"/>
      <c r="B332" s="11"/>
      <c r="C332" s="11"/>
      <c r="D332" s="11"/>
      <c r="E332" s="11"/>
      <c r="F332" s="11"/>
    </row>
    <row r="333" spans="1:6" ht="15.75" customHeight="1">
      <c r="A333" s="10"/>
      <c r="B333" s="11"/>
      <c r="C333" s="11"/>
      <c r="D333" s="11"/>
      <c r="E333" s="11"/>
      <c r="F333" s="11"/>
    </row>
    <row r="334" spans="1:6" ht="15.75" customHeight="1">
      <c r="A334" s="10"/>
      <c r="B334" s="11"/>
      <c r="C334" s="11"/>
      <c r="D334" s="11"/>
      <c r="E334" s="11"/>
      <c r="F334" s="11"/>
    </row>
    <row r="335" spans="1:6" ht="15.75" customHeight="1">
      <c r="A335" s="10"/>
      <c r="B335" s="11"/>
      <c r="C335" s="11"/>
      <c r="D335" s="11"/>
      <c r="E335" s="11"/>
      <c r="F335" s="11"/>
    </row>
    <row r="336" spans="1:6" ht="15.75" customHeight="1">
      <c r="A336" s="10"/>
      <c r="B336" s="11"/>
      <c r="C336" s="11"/>
      <c r="D336" s="11"/>
      <c r="E336" s="11"/>
      <c r="F336" s="11"/>
    </row>
    <row r="337" spans="1:6" ht="15.75" customHeight="1">
      <c r="A337" s="10"/>
      <c r="B337" s="11"/>
      <c r="C337" s="11"/>
      <c r="D337" s="11"/>
      <c r="E337" s="11"/>
      <c r="F337" s="11"/>
    </row>
    <row r="338" spans="1:6" ht="15.75" customHeight="1">
      <c r="A338" s="10"/>
      <c r="B338" s="11"/>
      <c r="C338" s="11"/>
      <c r="D338" s="11"/>
      <c r="E338" s="11"/>
      <c r="F338" s="11"/>
    </row>
    <row r="339" spans="1:6" ht="15.75" customHeight="1">
      <c r="A339" s="10"/>
      <c r="B339" s="11"/>
      <c r="C339" s="11"/>
      <c r="D339" s="11"/>
      <c r="E339" s="11"/>
      <c r="F339" s="11"/>
    </row>
    <row r="340" spans="1:6" ht="15.75" customHeight="1">
      <c r="A340" s="10"/>
      <c r="B340" s="11"/>
      <c r="C340" s="11"/>
      <c r="D340" s="11"/>
      <c r="E340" s="11"/>
      <c r="F340" s="11"/>
    </row>
    <row r="341" spans="1:6" ht="15.75" customHeight="1">
      <c r="A341" s="10"/>
      <c r="B341" s="11"/>
      <c r="C341" s="11"/>
      <c r="D341" s="11"/>
      <c r="E341" s="11"/>
      <c r="F341" s="11"/>
    </row>
    <row r="342" spans="1:6" ht="15.75" customHeight="1">
      <c r="A342" s="10"/>
      <c r="B342" s="11"/>
      <c r="C342" s="11"/>
      <c r="D342" s="11"/>
      <c r="E342" s="11"/>
      <c r="F342" s="11"/>
    </row>
    <row r="343" spans="1:6" ht="15.75" customHeight="1">
      <c r="A343" s="10"/>
      <c r="B343" s="11"/>
      <c r="C343" s="11"/>
      <c r="D343" s="11"/>
      <c r="E343" s="11"/>
      <c r="F343" s="11"/>
    </row>
    <row r="344" spans="1:6" ht="15.75" customHeight="1">
      <c r="A344" s="10"/>
      <c r="B344" s="11"/>
      <c r="C344" s="11"/>
      <c r="D344" s="11"/>
      <c r="E344" s="11"/>
      <c r="F344" s="11"/>
    </row>
    <row r="345" spans="1:6" ht="15.75" customHeight="1">
      <c r="A345" s="10"/>
      <c r="B345" s="11"/>
      <c r="C345" s="11"/>
      <c r="D345" s="11"/>
      <c r="E345" s="11"/>
      <c r="F345" s="11"/>
    </row>
    <row r="346" spans="1:6" ht="15.75" customHeight="1">
      <c r="A346" s="10"/>
      <c r="B346" s="11"/>
      <c r="C346" s="11"/>
      <c r="D346" s="11"/>
      <c r="E346" s="11"/>
      <c r="F346" s="11"/>
    </row>
    <row r="347" spans="1:6" ht="15.75" customHeight="1">
      <c r="A347" s="10"/>
      <c r="B347" s="11"/>
      <c r="C347" s="11"/>
      <c r="D347" s="11"/>
      <c r="E347" s="11"/>
      <c r="F347" s="11"/>
    </row>
    <row r="348" spans="1:6" ht="15.75" customHeight="1">
      <c r="A348" s="10"/>
      <c r="B348" s="11"/>
      <c r="C348" s="11"/>
      <c r="D348" s="11"/>
      <c r="E348" s="11"/>
      <c r="F348" s="11"/>
    </row>
    <row r="349" spans="1:6" ht="15.75" customHeight="1">
      <c r="A349" s="10"/>
      <c r="B349" s="11"/>
      <c r="C349" s="11"/>
      <c r="D349" s="11"/>
      <c r="E349" s="11"/>
      <c r="F349" s="11"/>
    </row>
    <row r="350" spans="1:6" ht="15.75" customHeight="1">
      <c r="A350" s="10"/>
      <c r="B350" s="11"/>
      <c r="C350" s="11"/>
      <c r="D350" s="11"/>
      <c r="E350" s="11"/>
      <c r="F350" s="11"/>
    </row>
    <row r="351" spans="1:6" ht="15.75" customHeight="1">
      <c r="A351" s="10"/>
      <c r="B351" s="11"/>
      <c r="C351" s="11"/>
      <c r="D351" s="11"/>
      <c r="E351" s="11"/>
      <c r="F351" s="11"/>
    </row>
    <row r="352" spans="1:6" ht="15.75" customHeight="1">
      <c r="A352" s="10"/>
      <c r="B352" s="11"/>
      <c r="C352" s="11"/>
      <c r="D352" s="11"/>
      <c r="E352" s="11"/>
      <c r="F352" s="11"/>
    </row>
    <row r="353" spans="1:6" ht="15.75" customHeight="1">
      <c r="A353" s="10"/>
      <c r="B353" s="11"/>
      <c r="C353" s="11"/>
      <c r="D353" s="11"/>
      <c r="E353" s="11"/>
      <c r="F353" s="11"/>
    </row>
    <row r="354" spans="1:6" ht="15.75" customHeight="1">
      <c r="A354" s="10"/>
      <c r="B354" s="11"/>
      <c r="C354" s="11"/>
      <c r="D354" s="11"/>
      <c r="E354" s="11"/>
      <c r="F354" s="11"/>
    </row>
    <row r="355" spans="1:6" ht="15.75" customHeight="1">
      <c r="A355" s="10"/>
      <c r="B355" s="11"/>
      <c r="C355" s="11"/>
      <c r="D355" s="11"/>
      <c r="E355" s="11"/>
      <c r="F355" s="11"/>
    </row>
    <row r="356" spans="1:6" ht="15.75" customHeight="1">
      <c r="A356" s="10"/>
      <c r="B356" s="11"/>
      <c r="C356" s="11"/>
      <c r="D356" s="11"/>
      <c r="E356" s="11"/>
      <c r="F356" s="11"/>
    </row>
    <row r="357" spans="1:6" ht="15.75" customHeight="1">
      <c r="A357" s="10"/>
      <c r="B357" s="11"/>
      <c r="C357" s="11"/>
      <c r="D357" s="11"/>
      <c r="E357" s="11"/>
      <c r="F357" s="11"/>
    </row>
    <row r="358" spans="1:6" ht="15.75" customHeight="1">
      <c r="A358" s="10"/>
      <c r="B358" s="11"/>
      <c r="C358" s="11"/>
      <c r="D358" s="11"/>
      <c r="E358" s="11"/>
      <c r="F358" s="11"/>
    </row>
    <row r="359" spans="1:6" ht="15.75" customHeight="1">
      <c r="A359" s="10"/>
      <c r="B359" s="11"/>
      <c r="C359" s="11"/>
      <c r="D359" s="11"/>
      <c r="E359" s="11"/>
      <c r="F359" s="11"/>
    </row>
    <row r="360" spans="1:6" ht="15.75" customHeight="1">
      <c r="A360" s="10"/>
      <c r="B360" s="11"/>
      <c r="C360" s="11"/>
      <c r="D360" s="11"/>
      <c r="E360" s="11"/>
      <c r="F360" s="11"/>
    </row>
    <row r="361" spans="1:6" ht="15.75" customHeight="1">
      <c r="A361" s="10"/>
      <c r="B361" s="11"/>
      <c r="C361" s="11"/>
      <c r="D361" s="11"/>
      <c r="E361" s="11"/>
      <c r="F361" s="11"/>
    </row>
    <row r="362" spans="1:6" ht="15.75" customHeight="1">
      <c r="A362" s="10"/>
      <c r="B362" s="11"/>
      <c r="C362" s="11"/>
      <c r="D362" s="11"/>
      <c r="E362" s="11"/>
      <c r="F362" s="11"/>
    </row>
    <row r="363" spans="1:6" ht="15.75" customHeight="1">
      <c r="A363" s="10"/>
      <c r="B363" s="11"/>
      <c r="C363" s="11"/>
      <c r="D363" s="11"/>
      <c r="E363" s="11"/>
      <c r="F363" s="11"/>
    </row>
    <row r="364" spans="1:6" ht="15.75" customHeight="1">
      <c r="A364" s="10"/>
      <c r="B364" s="11"/>
      <c r="C364" s="11"/>
      <c r="D364" s="11"/>
      <c r="E364" s="11"/>
      <c r="F364" s="11"/>
    </row>
    <row r="365" spans="1:6" ht="15.75" customHeight="1">
      <c r="A365" s="10"/>
      <c r="B365" s="11"/>
      <c r="C365" s="11"/>
      <c r="D365" s="11"/>
      <c r="E365" s="11"/>
      <c r="F365" s="11"/>
    </row>
    <row r="366" spans="1:6" ht="15.75" customHeight="1">
      <c r="A366" s="10"/>
      <c r="B366" s="11"/>
      <c r="C366" s="11"/>
      <c r="D366" s="11"/>
      <c r="E366" s="11"/>
      <c r="F366" s="11"/>
    </row>
    <row r="367" spans="1:6" ht="15.75" customHeight="1">
      <c r="A367" s="10"/>
      <c r="B367" s="11"/>
      <c r="C367" s="11"/>
      <c r="D367" s="11"/>
      <c r="E367" s="11"/>
      <c r="F367" s="11"/>
    </row>
    <row r="368" spans="1:6" ht="15.75" customHeight="1">
      <c r="A368" s="10"/>
      <c r="B368" s="11"/>
      <c r="C368" s="11"/>
      <c r="D368" s="11"/>
      <c r="E368" s="11"/>
      <c r="F368" s="11"/>
    </row>
    <row r="369" spans="1:6" ht="15.75" customHeight="1">
      <c r="A369" s="10"/>
      <c r="B369" s="11"/>
      <c r="C369" s="11"/>
      <c r="D369" s="11"/>
      <c r="E369" s="11"/>
      <c r="F369" s="11"/>
    </row>
    <row r="370" spans="1:6" ht="15.75" customHeight="1">
      <c r="A370" s="10"/>
      <c r="B370" s="11"/>
      <c r="C370" s="11"/>
      <c r="D370" s="11"/>
      <c r="E370" s="11"/>
      <c r="F370" s="11"/>
    </row>
    <row r="371" spans="1:6" ht="15.75" customHeight="1">
      <c r="A371" s="10"/>
      <c r="B371" s="11"/>
      <c r="C371" s="11"/>
      <c r="D371" s="11"/>
      <c r="E371" s="11"/>
      <c r="F371" s="11"/>
    </row>
    <row r="372" spans="1:6" ht="15.75" customHeight="1">
      <c r="A372" s="10"/>
      <c r="B372" s="11"/>
      <c r="C372" s="11"/>
      <c r="D372" s="11"/>
      <c r="E372" s="11"/>
      <c r="F372" s="11"/>
    </row>
    <row r="373" spans="1:6" ht="15.75" customHeight="1">
      <c r="A373" s="10"/>
      <c r="B373" s="11"/>
      <c r="C373" s="11"/>
      <c r="D373" s="11"/>
      <c r="E373" s="11"/>
      <c r="F373" s="11"/>
    </row>
    <row r="374" spans="1:6" ht="15.75" customHeight="1">
      <c r="A374" s="10"/>
      <c r="B374" s="11"/>
      <c r="C374" s="11"/>
      <c r="D374" s="11"/>
      <c r="E374" s="11"/>
      <c r="F374" s="11"/>
    </row>
    <row r="375" spans="1:6" ht="15.75" customHeight="1">
      <c r="A375" s="10"/>
      <c r="B375" s="11"/>
      <c r="C375" s="11"/>
      <c r="D375" s="11"/>
      <c r="E375" s="11"/>
      <c r="F375" s="11"/>
    </row>
    <row r="376" spans="1:6" ht="15.75" customHeight="1">
      <c r="A376" s="10"/>
      <c r="B376" s="11"/>
      <c r="C376" s="11"/>
      <c r="D376" s="11"/>
      <c r="E376" s="11"/>
      <c r="F376" s="11"/>
    </row>
    <row r="377" spans="1:6" ht="15.75" customHeight="1">
      <c r="A377" s="10"/>
      <c r="B377" s="11"/>
      <c r="C377" s="11"/>
      <c r="D377" s="11"/>
      <c r="E377" s="11"/>
      <c r="F377" s="11"/>
    </row>
    <row r="378" spans="1:6" ht="15.75" customHeight="1">
      <c r="A378" s="10"/>
      <c r="B378" s="11"/>
      <c r="C378" s="11"/>
      <c r="D378" s="11"/>
      <c r="E378" s="11"/>
      <c r="F378" s="11"/>
    </row>
    <row r="379" spans="1:6" ht="15.75" customHeight="1">
      <c r="A379" s="10"/>
      <c r="B379" s="11"/>
      <c r="C379" s="11"/>
      <c r="D379" s="11"/>
      <c r="E379" s="11"/>
      <c r="F379" s="11"/>
    </row>
    <row r="380" spans="1:6" ht="15.75" customHeight="1">
      <c r="A380" s="10"/>
      <c r="B380" s="11"/>
      <c r="C380" s="11"/>
      <c r="D380" s="11"/>
      <c r="E380" s="11"/>
      <c r="F380" s="11"/>
    </row>
    <row r="381" spans="1:6" ht="15.75" customHeight="1">
      <c r="A381" s="10"/>
      <c r="B381" s="11"/>
      <c r="C381" s="11"/>
      <c r="D381" s="11"/>
      <c r="E381" s="11"/>
      <c r="F381" s="11"/>
    </row>
    <row r="382" spans="1:6" ht="15.75" customHeight="1">
      <c r="A382" s="10"/>
      <c r="B382" s="11"/>
      <c r="C382" s="11"/>
      <c r="D382" s="11"/>
      <c r="E382" s="11"/>
      <c r="F382" s="11"/>
    </row>
    <row r="383" spans="1:6" ht="15.75" customHeight="1">
      <c r="A383" s="10"/>
      <c r="B383" s="11"/>
      <c r="C383" s="11"/>
      <c r="D383" s="11"/>
      <c r="E383" s="11"/>
      <c r="F383" s="11"/>
    </row>
    <row r="384" spans="1:6" ht="15.75" customHeight="1">
      <c r="A384" s="10"/>
      <c r="B384" s="11"/>
      <c r="C384" s="11"/>
      <c r="D384" s="11"/>
      <c r="E384" s="11"/>
      <c r="F384" s="11"/>
    </row>
    <row r="385" spans="1:6" ht="15.75" customHeight="1">
      <c r="A385" s="10"/>
      <c r="B385" s="11"/>
      <c r="C385" s="11"/>
      <c r="D385" s="11"/>
      <c r="E385" s="11"/>
      <c r="F385" s="11"/>
    </row>
    <row r="386" spans="1:6" ht="15.75" customHeight="1">
      <c r="A386" s="10"/>
      <c r="B386" s="11"/>
      <c r="C386" s="11"/>
      <c r="D386" s="11"/>
      <c r="E386" s="11"/>
      <c r="F386" s="11"/>
    </row>
    <row r="387" spans="1:6" ht="15.75" customHeight="1">
      <c r="A387" s="10"/>
      <c r="B387" s="11"/>
      <c r="C387" s="11"/>
      <c r="D387" s="11"/>
      <c r="E387" s="11"/>
      <c r="F387" s="11"/>
    </row>
    <row r="388" spans="1:6" ht="15.75" customHeight="1">
      <c r="A388" s="10"/>
      <c r="B388" s="11"/>
      <c r="C388" s="11"/>
      <c r="D388" s="11"/>
      <c r="E388" s="11"/>
      <c r="F388" s="11"/>
    </row>
    <row r="389" spans="1:6" ht="15.75" customHeight="1">
      <c r="A389" s="10"/>
      <c r="B389" s="11"/>
      <c r="C389" s="11"/>
      <c r="D389" s="11"/>
      <c r="E389" s="11"/>
      <c r="F389" s="11"/>
    </row>
    <row r="390" spans="1:6" ht="15.75" customHeight="1">
      <c r="A390" s="10"/>
      <c r="B390" s="11"/>
      <c r="C390" s="11"/>
      <c r="D390" s="11"/>
      <c r="E390" s="11"/>
      <c r="F390" s="11"/>
    </row>
    <row r="391" spans="1:6" ht="15.75" customHeight="1">
      <c r="A391" s="10"/>
      <c r="B391" s="11"/>
      <c r="C391" s="11"/>
      <c r="D391" s="11"/>
      <c r="E391" s="11"/>
      <c r="F391" s="11"/>
    </row>
    <row r="392" spans="1:6" ht="15.75" customHeight="1">
      <c r="A392" s="10"/>
      <c r="B392" s="11"/>
      <c r="C392" s="11"/>
      <c r="D392" s="11"/>
      <c r="E392" s="11"/>
      <c r="F392" s="11"/>
    </row>
    <row r="393" spans="1:6" ht="15.75" customHeight="1">
      <c r="A393" s="10"/>
      <c r="B393" s="11"/>
      <c r="C393" s="11"/>
      <c r="D393" s="11"/>
      <c r="E393" s="11"/>
      <c r="F393" s="11"/>
    </row>
    <row r="394" spans="1:6" ht="15.75" customHeight="1">
      <c r="A394" s="10"/>
      <c r="B394" s="11"/>
      <c r="C394" s="11"/>
      <c r="D394" s="11"/>
      <c r="E394" s="11"/>
      <c r="F394" s="11"/>
    </row>
    <row r="395" spans="1:6" ht="15.75" customHeight="1">
      <c r="A395" s="10"/>
      <c r="B395" s="11"/>
      <c r="C395" s="11"/>
      <c r="D395" s="11"/>
      <c r="E395" s="11"/>
      <c r="F395" s="11"/>
    </row>
    <row r="396" spans="1:6" ht="15.75" customHeight="1">
      <c r="A396" s="10"/>
      <c r="B396" s="11"/>
      <c r="C396" s="11"/>
      <c r="D396" s="11"/>
      <c r="E396" s="11"/>
      <c r="F396" s="11"/>
    </row>
    <row r="397" spans="1:6" ht="15.75" customHeight="1">
      <c r="A397" s="10"/>
      <c r="B397" s="11"/>
      <c r="C397" s="11"/>
      <c r="D397" s="11"/>
      <c r="E397" s="11"/>
      <c r="F397" s="11"/>
    </row>
    <row r="398" spans="1:6" ht="15.75" customHeight="1">
      <c r="A398" s="10"/>
      <c r="B398" s="11"/>
      <c r="C398" s="11"/>
      <c r="D398" s="11"/>
      <c r="E398" s="11"/>
      <c r="F398" s="11"/>
    </row>
    <row r="399" spans="1:6" ht="15.75" customHeight="1">
      <c r="A399" s="10"/>
      <c r="B399" s="11"/>
      <c r="C399" s="11"/>
      <c r="D399" s="11"/>
      <c r="E399" s="11"/>
      <c r="F399" s="11"/>
    </row>
    <row r="400" spans="1:6" ht="15.75" customHeight="1">
      <c r="A400" s="10"/>
      <c r="B400" s="11"/>
      <c r="C400" s="11"/>
      <c r="D400" s="11"/>
      <c r="E400" s="11"/>
      <c r="F400" s="11"/>
    </row>
    <row r="401" spans="1:6" ht="15.75" customHeight="1">
      <c r="A401" s="10"/>
      <c r="B401" s="11"/>
      <c r="C401" s="11"/>
      <c r="D401" s="11"/>
      <c r="E401" s="11"/>
      <c r="F401" s="11"/>
    </row>
    <row r="402" spans="1:6" ht="15.75" customHeight="1">
      <c r="A402" s="10"/>
      <c r="B402" s="11"/>
      <c r="C402" s="11"/>
      <c r="D402" s="11"/>
      <c r="E402" s="11"/>
      <c r="F402" s="11"/>
    </row>
    <row r="403" spans="1:6" ht="15.75" customHeight="1">
      <c r="A403" s="10"/>
      <c r="B403" s="11"/>
      <c r="C403" s="11"/>
      <c r="D403" s="11"/>
      <c r="E403" s="11"/>
      <c r="F403" s="11"/>
    </row>
    <row r="404" spans="1:6" ht="15.75" customHeight="1">
      <c r="A404" s="10"/>
      <c r="B404" s="11"/>
      <c r="C404" s="11"/>
      <c r="D404" s="11"/>
      <c r="E404" s="11"/>
      <c r="F404" s="11"/>
    </row>
    <row r="405" spans="1:6" ht="15.75" customHeight="1">
      <c r="A405" s="10"/>
      <c r="B405" s="11"/>
      <c r="C405" s="11"/>
      <c r="D405" s="11"/>
      <c r="E405" s="11"/>
      <c r="F405" s="11"/>
    </row>
    <row r="406" spans="1:6" ht="15.75" customHeight="1">
      <c r="A406" s="10"/>
      <c r="B406" s="11"/>
      <c r="C406" s="11"/>
      <c r="D406" s="11"/>
      <c r="E406" s="11"/>
      <c r="F406" s="11"/>
    </row>
    <row r="407" spans="1:6" ht="15.75" customHeight="1">
      <c r="A407" s="10"/>
      <c r="B407" s="11"/>
      <c r="C407" s="11"/>
      <c r="D407" s="11"/>
      <c r="E407" s="11"/>
      <c r="F407" s="11"/>
    </row>
    <row r="408" spans="1:6" ht="15.75" customHeight="1">
      <c r="A408" s="10"/>
      <c r="B408" s="11"/>
      <c r="C408" s="11"/>
      <c r="D408" s="11"/>
      <c r="E408" s="11"/>
      <c r="F408" s="11"/>
    </row>
    <row r="409" spans="1:6" ht="15.75" customHeight="1">
      <c r="A409" s="10"/>
      <c r="B409" s="11"/>
      <c r="C409" s="11"/>
      <c r="D409" s="11"/>
      <c r="E409" s="11"/>
      <c r="F409" s="11"/>
    </row>
    <row r="410" spans="1:6" ht="15.75" customHeight="1">
      <c r="A410" s="10"/>
      <c r="B410" s="11"/>
      <c r="C410" s="11"/>
      <c r="D410" s="11"/>
      <c r="E410" s="11"/>
      <c r="F410" s="11"/>
    </row>
    <row r="411" spans="1:6" ht="15.75" customHeight="1">
      <c r="A411" s="10"/>
      <c r="B411" s="11"/>
      <c r="C411" s="11"/>
      <c r="D411" s="11"/>
      <c r="E411" s="11"/>
      <c r="F411" s="11"/>
    </row>
    <row r="412" spans="1:6" ht="15.75" customHeight="1">
      <c r="A412" s="10"/>
      <c r="B412" s="11"/>
      <c r="C412" s="11"/>
      <c r="D412" s="11"/>
      <c r="E412" s="11"/>
      <c r="F412" s="11"/>
    </row>
    <row r="413" spans="1:6" ht="15.75" customHeight="1">
      <c r="A413" s="10"/>
      <c r="B413" s="11"/>
      <c r="C413" s="11"/>
      <c r="D413" s="11"/>
      <c r="E413" s="11"/>
      <c r="F413" s="11"/>
    </row>
    <row r="414" spans="1:6" ht="15.75" customHeight="1">
      <c r="A414" s="10"/>
      <c r="B414" s="11"/>
      <c r="C414" s="11"/>
      <c r="D414" s="11"/>
      <c r="E414" s="11"/>
      <c r="F414" s="11"/>
    </row>
    <row r="415" spans="1:6" ht="15.75" customHeight="1">
      <c r="A415" s="10"/>
      <c r="B415" s="11"/>
      <c r="C415" s="11"/>
      <c r="D415" s="11"/>
      <c r="E415" s="11"/>
      <c r="F415" s="11"/>
    </row>
    <row r="416" spans="1:6" ht="15.75" customHeight="1">
      <c r="A416" s="10"/>
      <c r="B416" s="11"/>
      <c r="C416" s="11"/>
      <c r="D416" s="11"/>
      <c r="E416" s="11"/>
      <c r="F416" s="11"/>
    </row>
    <row r="417" spans="1:6" ht="15.75" customHeight="1">
      <c r="A417" s="10"/>
      <c r="B417" s="11"/>
      <c r="C417" s="11"/>
      <c r="D417" s="11"/>
      <c r="E417" s="11"/>
      <c r="F417" s="11"/>
    </row>
    <row r="418" spans="1:6" ht="15.75" customHeight="1">
      <c r="A418" s="10"/>
      <c r="B418" s="11"/>
      <c r="C418" s="11"/>
      <c r="D418" s="11"/>
      <c r="E418" s="11"/>
      <c r="F418" s="11"/>
    </row>
    <row r="419" spans="1:6" ht="15.75" customHeight="1">
      <c r="A419" s="10"/>
      <c r="B419" s="11"/>
      <c r="C419" s="11"/>
      <c r="D419" s="11"/>
      <c r="E419" s="11"/>
      <c r="F419" s="11"/>
    </row>
    <row r="420" spans="1:6" ht="15.75" customHeight="1">
      <c r="A420" s="10"/>
      <c r="B420" s="11"/>
      <c r="C420" s="11"/>
      <c r="D420" s="11"/>
      <c r="E420" s="11"/>
      <c r="F420" s="11"/>
    </row>
    <row r="421" spans="1:6" ht="15.75" customHeight="1">
      <c r="A421" s="10"/>
      <c r="B421" s="11"/>
      <c r="C421" s="11"/>
      <c r="D421" s="11"/>
      <c r="E421" s="11"/>
      <c r="F421" s="11"/>
    </row>
    <row r="422" spans="1:6" ht="15.75" customHeight="1">
      <c r="A422" s="10"/>
      <c r="B422" s="11"/>
      <c r="C422" s="11"/>
      <c r="D422" s="11"/>
      <c r="E422" s="11"/>
      <c r="F422" s="11"/>
    </row>
    <row r="423" spans="1:6" ht="15.75" customHeight="1">
      <c r="A423" s="10"/>
      <c r="B423" s="11"/>
      <c r="C423" s="11"/>
      <c r="D423" s="11"/>
      <c r="E423" s="11"/>
      <c r="F423" s="11"/>
    </row>
    <row r="424" spans="1:6" ht="15.75" customHeight="1">
      <c r="A424" s="10"/>
      <c r="B424" s="11"/>
      <c r="C424" s="11"/>
      <c r="D424" s="11"/>
      <c r="E424" s="11"/>
      <c r="F424" s="11"/>
    </row>
    <row r="425" spans="1:6" ht="15.75" customHeight="1">
      <c r="A425" s="10"/>
      <c r="B425" s="11"/>
      <c r="C425" s="11"/>
      <c r="D425" s="11"/>
      <c r="E425" s="11"/>
      <c r="F425" s="11"/>
    </row>
    <row r="426" spans="1:6" ht="15.75" customHeight="1">
      <c r="A426" s="10"/>
      <c r="B426" s="11"/>
      <c r="C426" s="11"/>
      <c r="D426" s="11"/>
      <c r="E426" s="11"/>
      <c r="F426" s="11"/>
    </row>
    <row r="427" spans="1:6" ht="15.75" customHeight="1">
      <c r="A427" s="10"/>
      <c r="B427" s="11"/>
      <c r="C427" s="11"/>
      <c r="D427" s="11"/>
      <c r="E427" s="11"/>
      <c r="F427" s="11"/>
    </row>
    <row r="428" spans="1:6" ht="15.75" customHeight="1">
      <c r="A428" s="10"/>
      <c r="B428" s="11"/>
      <c r="C428" s="11"/>
      <c r="D428" s="11"/>
      <c r="E428" s="11"/>
      <c r="F428" s="11"/>
    </row>
    <row r="429" spans="1:6" ht="15.75" customHeight="1">
      <c r="A429" s="10"/>
      <c r="B429" s="11"/>
      <c r="C429" s="11"/>
      <c r="D429" s="11"/>
      <c r="E429" s="11"/>
      <c r="F429" s="11"/>
    </row>
    <row r="430" spans="1:6" ht="15.75" customHeight="1">
      <c r="A430" s="10"/>
      <c r="B430" s="11"/>
      <c r="C430" s="11"/>
      <c r="D430" s="11"/>
      <c r="E430" s="11"/>
      <c r="F430" s="11"/>
    </row>
    <row r="431" spans="1:6" ht="15.75" customHeight="1">
      <c r="A431" s="10"/>
      <c r="B431" s="11"/>
      <c r="C431" s="11"/>
      <c r="D431" s="11"/>
      <c r="E431" s="11"/>
      <c r="F431" s="11"/>
    </row>
    <row r="432" spans="1:6" ht="15.75" customHeight="1">
      <c r="A432" s="10"/>
      <c r="B432" s="11"/>
      <c r="C432" s="11"/>
      <c r="D432" s="11"/>
      <c r="E432" s="11"/>
      <c r="F432" s="11"/>
    </row>
    <row r="433" spans="1:6" ht="15.75" customHeight="1">
      <c r="A433" s="10"/>
      <c r="B433" s="11"/>
      <c r="C433" s="11"/>
      <c r="D433" s="11"/>
      <c r="E433" s="11"/>
      <c r="F433" s="11"/>
    </row>
    <row r="434" spans="1:6" ht="15.75" customHeight="1">
      <c r="A434" s="10"/>
      <c r="B434" s="11"/>
      <c r="C434" s="11"/>
      <c r="D434" s="11"/>
      <c r="E434" s="11"/>
      <c r="F434" s="11"/>
    </row>
    <row r="435" spans="1:6" ht="15.75" customHeight="1">
      <c r="A435" s="10"/>
      <c r="B435" s="11"/>
      <c r="C435" s="11"/>
      <c r="D435" s="11"/>
      <c r="E435" s="11"/>
      <c r="F435" s="11"/>
    </row>
    <row r="436" spans="1:6" ht="15.75" customHeight="1">
      <c r="A436" s="10"/>
      <c r="B436" s="11"/>
      <c r="C436" s="11"/>
      <c r="D436" s="11"/>
      <c r="E436" s="11"/>
      <c r="F436" s="11"/>
    </row>
    <row r="437" spans="1:6" ht="15.75" customHeight="1">
      <c r="A437" s="10"/>
      <c r="B437" s="11"/>
      <c r="C437" s="11"/>
      <c r="D437" s="11"/>
      <c r="E437" s="11"/>
      <c r="F437" s="11"/>
    </row>
    <row r="438" spans="1:6" ht="15.75" customHeight="1">
      <c r="A438" s="10"/>
      <c r="B438" s="11"/>
      <c r="C438" s="11"/>
      <c r="D438" s="11"/>
      <c r="E438" s="11"/>
      <c r="F438" s="11"/>
    </row>
    <row r="439" spans="1:6" ht="15.75" customHeight="1">
      <c r="A439" s="10"/>
      <c r="B439" s="11"/>
      <c r="C439" s="11"/>
      <c r="D439" s="11"/>
      <c r="E439" s="11"/>
      <c r="F439" s="11"/>
    </row>
    <row r="440" spans="1:6" ht="15.75" customHeight="1">
      <c r="A440" s="10"/>
      <c r="B440" s="11"/>
      <c r="C440" s="11"/>
      <c r="D440" s="11"/>
      <c r="E440" s="11"/>
      <c r="F440" s="11"/>
    </row>
    <row r="441" spans="1:6" ht="15.75" customHeight="1">
      <c r="A441" s="10"/>
      <c r="B441" s="11"/>
      <c r="C441" s="11"/>
      <c r="D441" s="11"/>
      <c r="E441" s="11"/>
      <c r="F441" s="11"/>
    </row>
    <row r="442" spans="1:6" ht="15.75" customHeight="1">
      <c r="A442" s="10"/>
      <c r="B442" s="11"/>
      <c r="C442" s="11"/>
      <c r="D442" s="11"/>
      <c r="E442" s="11"/>
      <c r="F442" s="11"/>
    </row>
    <row r="443" spans="1:6" ht="15.75" customHeight="1">
      <c r="A443" s="10"/>
      <c r="B443" s="11"/>
      <c r="C443" s="11"/>
      <c r="D443" s="11"/>
      <c r="E443" s="11"/>
      <c r="F443" s="11"/>
    </row>
    <row r="444" spans="1:6" ht="15.75" customHeight="1">
      <c r="A444" s="10"/>
      <c r="B444" s="11"/>
      <c r="C444" s="11"/>
      <c r="D444" s="11"/>
      <c r="E444" s="11"/>
      <c r="F444" s="11"/>
    </row>
    <row r="445" spans="1:6" ht="15.75" customHeight="1">
      <c r="A445" s="10"/>
      <c r="B445" s="11"/>
      <c r="C445" s="11"/>
      <c r="D445" s="11"/>
      <c r="E445" s="11"/>
      <c r="F445" s="11"/>
    </row>
    <row r="446" spans="1:6" ht="15.75" customHeight="1">
      <c r="A446" s="10"/>
      <c r="B446" s="11"/>
      <c r="C446" s="11"/>
      <c r="D446" s="11"/>
      <c r="E446" s="11"/>
      <c r="F446" s="11"/>
    </row>
    <row r="447" spans="1:6" ht="15.75" customHeight="1">
      <c r="A447" s="10"/>
      <c r="B447" s="11"/>
      <c r="C447" s="11"/>
      <c r="D447" s="11"/>
      <c r="E447" s="11"/>
      <c r="F447" s="11"/>
    </row>
    <row r="448" spans="1:6" ht="15.75" customHeight="1">
      <c r="A448" s="10"/>
      <c r="B448" s="11"/>
      <c r="C448" s="11"/>
      <c r="D448" s="11"/>
      <c r="E448" s="11"/>
      <c r="F448" s="11"/>
    </row>
    <row r="449" spans="1:6" ht="15.75" customHeight="1">
      <c r="A449" s="10"/>
      <c r="B449" s="11"/>
      <c r="C449" s="11"/>
      <c r="D449" s="11"/>
      <c r="E449" s="11"/>
      <c r="F449" s="11"/>
    </row>
    <row r="450" spans="1:6" ht="15.75" customHeight="1">
      <c r="A450" s="10"/>
      <c r="B450" s="11"/>
      <c r="C450" s="11"/>
      <c r="D450" s="11"/>
      <c r="E450" s="11"/>
      <c r="F450" s="11"/>
    </row>
    <row r="451" spans="1:6" ht="15.75" customHeight="1">
      <c r="A451" s="10"/>
      <c r="B451" s="11"/>
      <c r="C451" s="11"/>
      <c r="D451" s="11"/>
      <c r="E451" s="11"/>
      <c r="F451" s="11"/>
    </row>
    <row r="452" spans="1:6" ht="15.75" customHeight="1">
      <c r="A452" s="10"/>
      <c r="B452" s="11"/>
      <c r="C452" s="11"/>
      <c r="D452" s="11"/>
      <c r="E452" s="11"/>
      <c r="F452" s="11"/>
    </row>
    <row r="453" spans="1:6" ht="15.75" customHeight="1">
      <c r="A453" s="10"/>
      <c r="B453" s="11"/>
      <c r="C453" s="11"/>
      <c r="D453" s="11"/>
      <c r="E453" s="11"/>
      <c r="F453" s="11"/>
    </row>
    <row r="454" spans="1:6" ht="15.75" customHeight="1">
      <c r="A454" s="10"/>
      <c r="B454" s="11"/>
      <c r="C454" s="11"/>
      <c r="D454" s="11"/>
      <c r="E454" s="11"/>
      <c r="F454" s="11"/>
    </row>
    <row r="455" spans="1:6" ht="15.75" customHeight="1">
      <c r="A455" s="10"/>
      <c r="B455" s="11"/>
      <c r="C455" s="11"/>
      <c r="D455" s="11"/>
      <c r="E455" s="11"/>
      <c r="F455" s="11"/>
    </row>
    <row r="456" spans="1:6" ht="15.75" customHeight="1">
      <c r="A456" s="10"/>
      <c r="B456" s="11"/>
      <c r="C456" s="11"/>
      <c r="D456" s="11"/>
      <c r="E456" s="11"/>
      <c r="F456" s="11"/>
    </row>
    <row r="457" spans="1:6" ht="15.75" customHeight="1">
      <c r="A457" s="10"/>
      <c r="B457" s="11"/>
      <c r="C457" s="11"/>
      <c r="D457" s="11"/>
      <c r="E457" s="11"/>
      <c r="F457" s="11"/>
    </row>
    <row r="458" spans="1:6" ht="15.75" customHeight="1">
      <c r="A458" s="10"/>
      <c r="B458" s="11"/>
      <c r="C458" s="11"/>
      <c r="D458" s="11"/>
      <c r="E458" s="11"/>
      <c r="F458" s="11"/>
    </row>
    <row r="459" spans="1:6" ht="15.75" customHeight="1">
      <c r="A459" s="10"/>
      <c r="B459" s="11"/>
      <c r="C459" s="11"/>
      <c r="D459" s="11"/>
      <c r="E459" s="11"/>
      <c r="F459" s="11"/>
    </row>
    <row r="460" spans="1:6" ht="15.75" customHeight="1">
      <c r="A460" s="10"/>
      <c r="B460" s="11"/>
      <c r="C460" s="11"/>
      <c r="D460" s="11"/>
      <c r="E460" s="11"/>
      <c r="F460" s="11"/>
    </row>
    <row r="461" spans="1:6" ht="15.75" customHeight="1">
      <c r="A461" s="10"/>
      <c r="B461" s="11"/>
      <c r="C461" s="11"/>
      <c r="D461" s="11"/>
      <c r="E461" s="11"/>
      <c r="F461" s="11"/>
    </row>
    <row r="462" spans="1:6" ht="15.75" customHeight="1">
      <c r="A462" s="10"/>
      <c r="B462" s="11"/>
      <c r="C462" s="11"/>
      <c r="D462" s="11"/>
      <c r="E462" s="11"/>
      <c r="F462" s="11"/>
    </row>
    <row r="463" spans="1:6" ht="15.75" customHeight="1">
      <c r="A463" s="10"/>
      <c r="B463" s="11"/>
      <c r="C463" s="11"/>
      <c r="D463" s="11"/>
      <c r="E463" s="11"/>
      <c r="F463" s="11"/>
    </row>
    <row r="464" spans="1:6" ht="15.75" customHeight="1">
      <c r="A464" s="10"/>
      <c r="B464" s="11"/>
      <c r="C464" s="11"/>
      <c r="D464" s="11"/>
      <c r="E464" s="11"/>
      <c r="F464" s="11"/>
    </row>
    <row r="465" spans="1:6" ht="15.75" customHeight="1">
      <c r="A465" s="10"/>
      <c r="B465" s="11"/>
      <c r="C465" s="11"/>
      <c r="D465" s="11"/>
      <c r="E465" s="11"/>
      <c r="F465" s="11"/>
    </row>
    <row r="466" spans="1:6" ht="15.75" customHeight="1">
      <c r="A466" s="10"/>
      <c r="B466" s="11"/>
      <c r="C466" s="11"/>
      <c r="D466" s="11"/>
      <c r="E466" s="11"/>
      <c r="F466" s="11"/>
    </row>
    <row r="467" spans="1:6" ht="15.75" customHeight="1">
      <c r="A467" s="10"/>
      <c r="B467" s="11"/>
      <c r="C467" s="11"/>
      <c r="D467" s="11"/>
      <c r="E467" s="11"/>
      <c r="F467" s="11"/>
    </row>
    <row r="468" spans="1:6" ht="15.75" customHeight="1">
      <c r="A468" s="10"/>
      <c r="B468" s="11"/>
      <c r="C468" s="11"/>
      <c r="D468" s="11"/>
      <c r="E468" s="11"/>
      <c r="F468" s="11"/>
    </row>
    <row r="469" spans="1:6" ht="15.75" customHeight="1">
      <c r="A469" s="10"/>
      <c r="B469" s="11"/>
      <c r="C469" s="11"/>
      <c r="D469" s="11"/>
      <c r="E469" s="11"/>
      <c r="F469" s="11"/>
    </row>
    <row r="470" spans="1:6" ht="15.75" customHeight="1">
      <c r="A470" s="10"/>
      <c r="B470" s="11"/>
      <c r="C470" s="11"/>
      <c r="D470" s="11"/>
      <c r="E470" s="11"/>
      <c r="F470" s="11"/>
    </row>
    <row r="471" spans="1:6" ht="15.75" customHeight="1">
      <c r="A471" s="10"/>
      <c r="B471" s="11"/>
      <c r="C471" s="11"/>
      <c r="D471" s="11"/>
      <c r="E471" s="11"/>
      <c r="F471" s="11"/>
    </row>
    <row r="472" spans="1:6" ht="15.75" customHeight="1">
      <c r="A472" s="10"/>
      <c r="B472" s="11"/>
      <c r="C472" s="11"/>
      <c r="D472" s="11"/>
      <c r="E472" s="11"/>
      <c r="F472" s="11"/>
    </row>
    <row r="473" spans="1:6" ht="15.75" customHeight="1">
      <c r="A473" s="10"/>
      <c r="B473" s="11"/>
      <c r="C473" s="11"/>
      <c r="D473" s="11"/>
      <c r="E473" s="11"/>
      <c r="F473" s="11"/>
    </row>
    <row r="474" spans="1:6" ht="15.75" customHeight="1">
      <c r="A474" s="10"/>
      <c r="B474" s="11"/>
      <c r="C474" s="11"/>
      <c r="D474" s="11"/>
      <c r="E474" s="11"/>
      <c r="F474" s="11"/>
    </row>
    <row r="475" spans="1:6" ht="15.75" customHeight="1">
      <c r="A475" s="10"/>
      <c r="B475" s="11"/>
      <c r="C475" s="11"/>
      <c r="D475" s="11"/>
      <c r="E475" s="11"/>
      <c r="F475" s="11"/>
    </row>
    <row r="476" spans="1:6" ht="15.75" customHeight="1">
      <c r="A476" s="10"/>
      <c r="B476" s="11"/>
      <c r="C476" s="11"/>
      <c r="D476" s="11"/>
      <c r="E476" s="11"/>
      <c r="F476" s="11"/>
    </row>
    <row r="477" spans="1:6" ht="15.75" customHeight="1">
      <c r="A477" s="10"/>
      <c r="B477" s="11"/>
      <c r="C477" s="11"/>
      <c r="D477" s="11"/>
      <c r="E477" s="11"/>
      <c r="F477" s="11"/>
    </row>
    <row r="478" spans="1:6" ht="15.75" customHeight="1">
      <c r="A478" s="10"/>
      <c r="B478" s="11"/>
      <c r="C478" s="11"/>
      <c r="D478" s="11"/>
      <c r="E478" s="11"/>
      <c r="F478" s="11"/>
    </row>
    <row r="479" spans="1:6" ht="15.75" customHeight="1">
      <c r="A479" s="10"/>
      <c r="B479" s="11"/>
      <c r="C479" s="11"/>
      <c r="D479" s="11"/>
      <c r="E479" s="11"/>
      <c r="F479" s="11"/>
    </row>
    <row r="480" spans="1:6" ht="15.75" customHeight="1">
      <c r="A480" s="10"/>
      <c r="B480" s="11"/>
      <c r="C480" s="11"/>
      <c r="D480" s="11"/>
      <c r="E480" s="11"/>
      <c r="F480" s="11"/>
    </row>
    <row r="481" spans="1:6" ht="15.75" customHeight="1">
      <c r="A481" s="10"/>
      <c r="B481" s="11"/>
      <c r="C481" s="11"/>
      <c r="D481" s="11"/>
      <c r="E481" s="11"/>
      <c r="F481" s="11"/>
    </row>
    <row r="482" spans="1:6" ht="15.75" customHeight="1">
      <c r="A482" s="10"/>
      <c r="B482" s="11"/>
      <c r="C482" s="11"/>
      <c r="D482" s="11"/>
      <c r="E482" s="11"/>
      <c r="F482" s="11"/>
    </row>
    <row r="483" spans="1:6" ht="15.75" customHeight="1">
      <c r="A483" s="10"/>
      <c r="B483" s="11"/>
      <c r="C483" s="11"/>
      <c r="D483" s="11"/>
      <c r="E483" s="11"/>
      <c r="F483" s="11"/>
    </row>
    <row r="484" spans="1:6" ht="15.75" customHeight="1">
      <c r="A484" s="10"/>
      <c r="B484" s="11"/>
      <c r="C484" s="11"/>
      <c r="D484" s="11"/>
      <c r="E484" s="11"/>
      <c r="F484" s="11"/>
    </row>
    <row r="485" spans="1:6" ht="15.75" customHeight="1">
      <c r="A485" s="10"/>
      <c r="B485" s="11"/>
      <c r="C485" s="11"/>
      <c r="D485" s="11"/>
      <c r="E485" s="11"/>
      <c r="F485" s="11"/>
    </row>
    <row r="486" spans="1:6" ht="15.75" customHeight="1">
      <c r="A486" s="10"/>
      <c r="B486" s="11"/>
      <c r="C486" s="11"/>
      <c r="D486" s="11"/>
      <c r="E486" s="11"/>
      <c r="F486" s="11"/>
    </row>
    <row r="487" spans="1:6" ht="15.75" customHeight="1">
      <c r="A487" s="10"/>
      <c r="B487" s="11"/>
      <c r="C487" s="11"/>
      <c r="D487" s="11"/>
      <c r="E487" s="11"/>
      <c r="F487" s="11"/>
    </row>
    <row r="488" spans="1:6" ht="15.75" customHeight="1">
      <c r="A488" s="10"/>
      <c r="B488" s="11"/>
      <c r="C488" s="11"/>
      <c r="D488" s="11"/>
      <c r="E488" s="11"/>
      <c r="F488" s="11"/>
    </row>
    <row r="489" spans="1:6" ht="15.75" customHeight="1">
      <c r="A489" s="10"/>
      <c r="B489" s="11"/>
      <c r="C489" s="11"/>
      <c r="D489" s="11"/>
      <c r="E489" s="11"/>
      <c r="F489" s="11"/>
    </row>
    <row r="490" spans="1:6" ht="15.75" customHeight="1">
      <c r="A490" s="10"/>
      <c r="B490" s="11"/>
      <c r="C490" s="11"/>
      <c r="D490" s="11"/>
      <c r="E490" s="11"/>
      <c r="F490" s="11"/>
    </row>
    <row r="491" spans="1:6" ht="15.75" customHeight="1">
      <c r="A491" s="10"/>
      <c r="B491" s="11"/>
      <c r="C491" s="11"/>
      <c r="D491" s="11"/>
      <c r="E491" s="11"/>
      <c r="F491" s="11"/>
    </row>
    <row r="492" spans="1:6" ht="15.75" customHeight="1">
      <c r="A492" s="10"/>
      <c r="B492" s="11"/>
      <c r="C492" s="11"/>
      <c r="D492" s="11"/>
      <c r="E492" s="11"/>
      <c r="F492" s="11"/>
    </row>
    <row r="493" spans="1:6" ht="15.75" customHeight="1">
      <c r="A493" s="10"/>
      <c r="B493" s="11"/>
      <c r="C493" s="11"/>
      <c r="D493" s="11"/>
      <c r="E493" s="11"/>
      <c r="F493" s="11"/>
    </row>
    <row r="494" spans="1:6" ht="15.75" customHeight="1">
      <c r="A494" s="10"/>
      <c r="B494" s="11"/>
      <c r="C494" s="11"/>
      <c r="D494" s="11"/>
      <c r="E494" s="11"/>
      <c r="F494" s="11"/>
    </row>
    <row r="495" spans="1:6" ht="15.75" customHeight="1">
      <c r="A495" s="10"/>
      <c r="B495" s="11"/>
      <c r="C495" s="11"/>
      <c r="D495" s="11"/>
      <c r="E495" s="11"/>
      <c r="F495" s="11"/>
    </row>
    <row r="496" spans="1:6" ht="15.75" customHeight="1">
      <c r="A496" s="10"/>
      <c r="B496" s="11"/>
      <c r="C496" s="11"/>
      <c r="D496" s="11"/>
      <c r="E496" s="11"/>
      <c r="F496" s="11"/>
    </row>
    <row r="497" spans="1:6" ht="15.75" customHeight="1">
      <c r="A497" s="10"/>
      <c r="B497" s="11"/>
      <c r="C497" s="11"/>
      <c r="D497" s="11"/>
      <c r="E497" s="11"/>
      <c r="F497" s="11"/>
    </row>
    <row r="498" spans="1:6" ht="15.75" customHeight="1">
      <c r="A498" s="10"/>
      <c r="B498" s="11"/>
      <c r="C498" s="11"/>
      <c r="D498" s="11"/>
      <c r="E498" s="11"/>
      <c r="F498" s="11"/>
    </row>
    <row r="499" spans="1:6" ht="15.75" customHeight="1">
      <c r="A499" s="10"/>
      <c r="B499" s="11"/>
      <c r="C499" s="11"/>
      <c r="D499" s="11"/>
      <c r="E499" s="11"/>
      <c r="F499" s="11"/>
    </row>
    <row r="500" spans="1:6" ht="15.75" customHeight="1">
      <c r="A500" s="10"/>
      <c r="B500" s="11"/>
      <c r="C500" s="11"/>
      <c r="D500" s="11"/>
      <c r="E500" s="11"/>
      <c r="F500" s="11"/>
    </row>
    <row r="501" spans="1:6" ht="15.75" customHeight="1">
      <c r="A501" s="10"/>
      <c r="B501" s="11"/>
      <c r="C501" s="11"/>
      <c r="D501" s="11"/>
      <c r="E501" s="11"/>
      <c r="F501" s="11"/>
    </row>
    <row r="502" spans="1:6" ht="15.75" customHeight="1">
      <c r="A502" s="10"/>
      <c r="B502" s="11"/>
      <c r="C502" s="11"/>
      <c r="D502" s="11"/>
      <c r="E502" s="11"/>
      <c r="F502" s="11"/>
    </row>
    <row r="503" spans="1:6" ht="15.75" customHeight="1">
      <c r="A503" s="10"/>
      <c r="B503" s="11"/>
      <c r="C503" s="11"/>
      <c r="D503" s="11"/>
      <c r="E503" s="11"/>
      <c r="F503" s="11"/>
    </row>
    <row r="504" spans="1:6" ht="15.75" customHeight="1">
      <c r="A504" s="10"/>
      <c r="B504" s="11"/>
      <c r="C504" s="11"/>
      <c r="D504" s="11"/>
      <c r="E504" s="11"/>
      <c r="F504" s="11"/>
    </row>
    <row r="505" spans="1:6" ht="15.75" customHeight="1">
      <c r="A505" s="10"/>
      <c r="B505" s="11"/>
      <c r="C505" s="11"/>
      <c r="D505" s="11"/>
      <c r="E505" s="11"/>
      <c r="F505" s="11"/>
    </row>
    <row r="506" spans="1:6" ht="15.75" customHeight="1">
      <c r="A506" s="10"/>
      <c r="B506" s="11"/>
      <c r="C506" s="11"/>
      <c r="D506" s="11"/>
      <c r="E506" s="11"/>
      <c r="F506" s="11"/>
    </row>
    <row r="507" spans="1:6" ht="15.75" customHeight="1">
      <c r="A507" s="10"/>
      <c r="B507" s="11"/>
      <c r="C507" s="11"/>
      <c r="D507" s="11"/>
      <c r="E507" s="11"/>
      <c r="F507" s="11"/>
    </row>
    <row r="508" spans="1:6" ht="15.75" customHeight="1">
      <c r="A508" s="10"/>
      <c r="B508" s="11"/>
      <c r="C508" s="11"/>
      <c r="D508" s="11"/>
      <c r="E508" s="11"/>
      <c r="F508" s="11"/>
    </row>
    <row r="509" spans="1:6" ht="15.75" customHeight="1">
      <c r="A509" s="10"/>
      <c r="B509" s="11"/>
      <c r="C509" s="11"/>
      <c r="D509" s="11"/>
      <c r="E509" s="11"/>
      <c r="F509" s="11"/>
    </row>
    <row r="510" spans="1:6" ht="15.75" customHeight="1">
      <c r="A510" s="10"/>
      <c r="B510" s="11"/>
      <c r="C510" s="11"/>
      <c r="D510" s="11"/>
      <c r="E510" s="11"/>
      <c r="F510" s="11"/>
    </row>
    <row r="511" spans="1:6" ht="15.75" customHeight="1">
      <c r="A511" s="10"/>
      <c r="B511" s="11"/>
      <c r="C511" s="11"/>
      <c r="D511" s="11"/>
      <c r="E511" s="11"/>
      <c r="F511" s="11"/>
    </row>
    <row r="512" spans="1:6" ht="15.75" customHeight="1">
      <c r="A512" s="10"/>
      <c r="B512" s="11"/>
      <c r="C512" s="11"/>
      <c r="D512" s="11"/>
      <c r="E512" s="11"/>
      <c r="F512" s="11"/>
    </row>
    <row r="513" spans="1:6" ht="15.75" customHeight="1">
      <c r="A513" s="10"/>
      <c r="B513" s="11"/>
      <c r="C513" s="11"/>
      <c r="D513" s="11"/>
      <c r="E513" s="11"/>
      <c r="F513" s="11"/>
    </row>
    <row r="514" spans="1:6" ht="15.75" customHeight="1">
      <c r="A514" s="10"/>
      <c r="B514" s="11"/>
      <c r="C514" s="11"/>
      <c r="D514" s="11"/>
      <c r="E514" s="11"/>
      <c r="F514" s="11"/>
    </row>
    <row r="515" spans="1:6" ht="15.75" customHeight="1">
      <c r="A515" s="10"/>
      <c r="B515" s="11"/>
      <c r="C515" s="11"/>
      <c r="D515" s="11"/>
      <c r="E515" s="11"/>
      <c r="F515" s="11"/>
    </row>
    <row r="516" spans="1:6" ht="15.75" customHeight="1">
      <c r="A516" s="10"/>
      <c r="B516" s="11"/>
      <c r="C516" s="11"/>
      <c r="D516" s="11"/>
      <c r="E516" s="11"/>
      <c r="F516" s="11"/>
    </row>
    <row r="517" spans="1:6" ht="15.75" customHeight="1">
      <c r="A517" s="10"/>
      <c r="B517" s="11"/>
      <c r="C517" s="11"/>
      <c r="D517" s="11"/>
      <c r="E517" s="11"/>
      <c r="F517" s="11"/>
    </row>
    <row r="518" spans="1:6" ht="15.75" customHeight="1">
      <c r="A518" s="10"/>
      <c r="B518" s="11"/>
      <c r="C518" s="11"/>
      <c r="D518" s="11"/>
      <c r="E518" s="11"/>
      <c r="F518" s="11"/>
    </row>
    <row r="519" spans="1:6" ht="15.75" customHeight="1">
      <c r="A519" s="10"/>
      <c r="B519" s="11"/>
      <c r="C519" s="11"/>
      <c r="D519" s="11"/>
      <c r="E519" s="11"/>
      <c r="F519" s="11"/>
    </row>
    <row r="520" spans="1:6" ht="15.75" customHeight="1">
      <c r="A520" s="10"/>
      <c r="B520" s="11"/>
      <c r="C520" s="11"/>
      <c r="D520" s="11"/>
      <c r="E520" s="11"/>
      <c r="F520" s="11"/>
    </row>
    <row r="521" spans="1:6" ht="15.75" customHeight="1">
      <c r="A521" s="10"/>
      <c r="B521" s="11"/>
      <c r="C521" s="11"/>
      <c r="D521" s="11"/>
      <c r="E521" s="11"/>
      <c r="F521" s="11"/>
    </row>
    <row r="522" spans="1:6" ht="15.75" customHeight="1">
      <c r="A522" s="10"/>
      <c r="B522" s="11"/>
      <c r="C522" s="11"/>
      <c r="D522" s="11"/>
      <c r="E522" s="11"/>
      <c r="F522" s="11"/>
    </row>
    <row r="523" spans="1:6" ht="15.75" customHeight="1">
      <c r="A523" s="10"/>
      <c r="B523" s="11"/>
      <c r="C523" s="11"/>
      <c r="D523" s="11"/>
      <c r="E523" s="11"/>
      <c r="F523" s="11"/>
    </row>
    <row r="524" spans="1:6" ht="15.75" customHeight="1">
      <c r="A524" s="10"/>
      <c r="B524" s="11"/>
      <c r="C524" s="11"/>
      <c r="D524" s="11"/>
      <c r="E524" s="11"/>
      <c r="F524" s="11"/>
    </row>
    <row r="525" spans="1:6" ht="15.75" customHeight="1">
      <c r="A525" s="10"/>
      <c r="B525" s="11"/>
      <c r="C525" s="11"/>
      <c r="D525" s="11"/>
      <c r="E525" s="11"/>
      <c r="F525" s="11"/>
    </row>
    <row r="526" spans="1:6" ht="15.75" customHeight="1">
      <c r="A526" s="10"/>
      <c r="B526" s="11"/>
      <c r="C526" s="11"/>
      <c r="D526" s="11"/>
      <c r="E526" s="11"/>
      <c r="F526" s="11"/>
    </row>
    <row r="527" spans="1:6" ht="15.75" customHeight="1">
      <c r="A527" s="10"/>
      <c r="B527" s="11"/>
      <c r="C527" s="11"/>
      <c r="D527" s="11"/>
      <c r="E527" s="11"/>
      <c r="F527" s="11"/>
    </row>
    <row r="528" spans="1:6" ht="15.75" customHeight="1">
      <c r="A528" s="10"/>
      <c r="B528" s="11"/>
      <c r="C528" s="11"/>
      <c r="D528" s="11"/>
      <c r="E528" s="11"/>
      <c r="F528" s="11"/>
    </row>
    <row r="529" spans="1:6" ht="15.75" customHeight="1">
      <c r="A529" s="10"/>
      <c r="B529" s="11"/>
      <c r="C529" s="11"/>
      <c r="D529" s="11"/>
      <c r="E529" s="11"/>
      <c r="F529" s="11"/>
    </row>
    <row r="530" spans="1:6" ht="15.75" customHeight="1">
      <c r="A530" s="10"/>
      <c r="B530" s="11"/>
      <c r="C530" s="11"/>
      <c r="D530" s="11"/>
      <c r="E530" s="11"/>
      <c r="F530" s="11"/>
    </row>
    <row r="531" spans="1:6" ht="15.75" customHeight="1">
      <c r="A531" s="10"/>
      <c r="B531" s="11"/>
      <c r="C531" s="11"/>
      <c r="D531" s="11"/>
      <c r="E531" s="11"/>
      <c r="F531" s="11"/>
    </row>
    <row r="532" spans="1:6" ht="15.75" customHeight="1">
      <c r="A532" s="10"/>
      <c r="B532" s="11"/>
      <c r="C532" s="11"/>
      <c r="D532" s="11"/>
      <c r="E532" s="11"/>
      <c r="F532" s="11"/>
    </row>
    <row r="533" spans="1:6" ht="15.75" customHeight="1">
      <c r="A533" s="10"/>
      <c r="B533" s="11"/>
      <c r="C533" s="11"/>
      <c r="D533" s="11"/>
      <c r="E533" s="11"/>
      <c r="F533" s="11"/>
    </row>
    <row r="534" spans="1:6" ht="15.75" customHeight="1">
      <c r="A534" s="10"/>
      <c r="B534" s="11"/>
      <c r="C534" s="11"/>
      <c r="D534" s="11"/>
      <c r="E534" s="11"/>
      <c r="F534" s="11"/>
    </row>
    <row r="535" spans="1:6" ht="15.75" customHeight="1">
      <c r="A535" s="10"/>
      <c r="B535" s="11"/>
      <c r="C535" s="11"/>
      <c r="D535" s="11"/>
      <c r="E535" s="11"/>
      <c r="F535" s="11"/>
    </row>
    <row r="536" spans="1:6" ht="15.75" customHeight="1">
      <c r="A536" s="10"/>
      <c r="B536" s="11"/>
      <c r="C536" s="11"/>
      <c r="D536" s="11"/>
      <c r="E536" s="11"/>
      <c r="F536" s="11"/>
    </row>
    <row r="537" spans="1:6" ht="15.75" customHeight="1">
      <c r="A537" s="10"/>
      <c r="B537" s="11"/>
      <c r="C537" s="11"/>
      <c r="D537" s="11"/>
      <c r="E537" s="11"/>
      <c r="F537" s="11"/>
    </row>
    <row r="538" spans="1:6" ht="15.75" customHeight="1">
      <c r="A538" s="10"/>
      <c r="B538" s="11"/>
      <c r="C538" s="11"/>
      <c r="D538" s="11"/>
      <c r="E538" s="11"/>
      <c r="F538" s="11"/>
    </row>
    <row r="539" spans="1:6" ht="15.75" customHeight="1">
      <c r="A539" s="10"/>
      <c r="B539" s="11"/>
      <c r="C539" s="11"/>
      <c r="D539" s="11"/>
      <c r="E539" s="11"/>
      <c r="F539" s="11"/>
    </row>
    <row r="540" spans="1:6" ht="15.75" customHeight="1">
      <c r="A540" s="10"/>
      <c r="B540" s="11"/>
      <c r="C540" s="11"/>
      <c r="D540" s="11"/>
      <c r="E540" s="11"/>
      <c r="F540" s="11"/>
    </row>
    <row r="541" spans="1:6" ht="15.75" customHeight="1">
      <c r="A541" s="10"/>
      <c r="B541" s="11"/>
      <c r="C541" s="11"/>
      <c r="D541" s="11"/>
      <c r="E541" s="11"/>
      <c r="F541" s="11"/>
    </row>
    <row r="542" spans="1:6" ht="15.75" customHeight="1">
      <c r="A542" s="10"/>
      <c r="B542" s="11"/>
      <c r="C542" s="11"/>
      <c r="D542" s="11"/>
      <c r="E542" s="11"/>
      <c r="F542" s="11"/>
    </row>
    <row r="543" spans="1:6" ht="15.75" customHeight="1">
      <c r="A543" s="10"/>
      <c r="B543" s="11"/>
      <c r="C543" s="11"/>
      <c r="D543" s="11"/>
      <c r="E543" s="11"/>
      <c r="F543" s="11"/>
    </row>
    <row r="544" spans="1:6" ht="15.75" customHeight="1">
      <c r="A544" s="10"/>
      <c r="B544" s="11"/>
      <c r="C544" s="11"/>
      <c r="D544" s="11"/>
      <c r="E544" s="11"/>
      <c r="F544" s="11"/>
    </row>
    <row r="545" spans="1:6" ht="15.75" customHeight="1">
      <c r="A545" s="10"/>
      <c r="B545" s="11"/>
      <c r="C545" s="11"/>
      <c r="D545" s="11"/>
      <c r="E545" s="11"/>
      <c r="F545" s="11"/>
    </row>
    <row r="546" spans="1:6" ht="15.75" customHeight="1">
      <c r="A546" s="10"/>
      <c r="B546" s="11"/>
      <c r="C546" s="11"/>
      <c r="D546" s="11"/>
      <c r="E546" s="11"/>
      <c r="F546" s="11"/>
    </row>
    <row r="547" spans="1:6" ht="15.75" customHeight="1">
      <c r="A547" s="10"/>
      <c r="B547" s="11"/>
      <c r="C547" s="11"/>
      <c r="D547" s="11"/>
      <c r="E547" s="11"/>
      <c r="F547" s="11"/>
    </row>
    <row r="548" spans="1:6" ht="15.75" customHeight="1">
      <c r="A548" s="10"/>
      <c r="B548" s="11"/>
      <c r="C548" s="11"/>
      <c r="D548" s="11"/>
      <c r="E548" s="11"/>
      <c r="F548" s="11"/>
    </row>
    <row r="549" spans="1:6" ht="15.75" customHeight="1">
      <c r="A549" s="10"/>
      <c r="B549" s="11"/>
      <c r="C549" s="11"/>
      <c r="D549" s="11"/>
      <c r="E549" s="11"/>
      <c r="F549" s="11"/>
    </row>
    <row r="550" spans="1:6" ht="15.75" customHeight="1">
      <c r="A550" s="10"/>
      <c r="B550" s="11"/>
      <c r="C550" s="11"/>
      <c r="D550" s="11"/>
      <c r="E550" s="11"/>
      <c r="F550" s="11"/>
    </row>
    <row r="551" spans="1:6" ht="15.75" customHeight="1">
      <c r="A551" s="10"/>
      <c r="B551" s="11"/>
      <c r="C551" s="11"/>
      <c r="D551" s="11"/>
      <c r="E551" s="11"/>
      <c r="F551" s="11"/>
    </row>
    <row r="552" spans="1:6" ht="15.75" customHeight="1">
      <c r="A552" s="10"/>
      <c r="B552" s="11"/>
      <c r="C552" s="11"/>
      <c r="D552" s="11"/>
      <c r="E552" s="11"/>
      <c r="F552" s="11"/>
    </row>
    <row r="553" spans="1:6" ht="15.75" customHeight="1">
      <c r="A553" s="10"/>
      <c r="B553" s="11"/>
      <c r="C553" s="11"/>
      <c r="D553" s="11"/>
      <c r="E553" s="11"/>
      <c r="F553" s="11"/>
    </row>
    <row r="554" spans="1:6" ht="15.75" customHeight="1">
      <c r="A554" s="10"/>
      <c r="B554" s="11"/>
      <c r="C554" s="11"/>
      <c r="D554" s="11"/>
      <c r="E554" s="11"/>
      <c r="F554" s="11"/>
    </row>
    <row r="555" spans="1:6" ht="15.75" customHeight="1">
      <c r="A555" s="10"/>
      <c r="B555" s="11"/>
      <c r="C555" s="11"/>
      <c r="D555" s="11"/>
      <c r="E555" s="11"/>
      <c r="F555" s="11"/>
    </row>
    <row r="556" spans="1:6" ht="15.75" customHeight="1">
      <c r="A556" s="10"/>
      <c r="B556" s="11"/>
      <c r="C556" s="11"/>
      <c r="D556" s="11"/>
      <c r="E556" s="11"/>
      <c r="F556" s="11"/>
    </row>
    <row r="557" spans="1:6" ht="15.75" customHeight="1">
      <c r="A557" s="10"/>
      <c r="B557" s="11"/>
      <c r="C557" s="11"/>
      <c r="D557" s="11"/>
      <c r="E557" s="11"/>
      <c r="F557" s="11"/>
    </row>
    <row r="558" spans="1:6" ht="15.75" customHeight="1">
      <c r="A558" s="10"/>
      <c r="B558" s="11"/>
      <c r="C558" s="11"/>
      <c r="D558" s="11"/>
      <c r="E558" s="11"/>
      <c r="F558" s="11"/>
    </row>
    <row r="559" spans="1:6" ht="15.75" customHeight="1">
      <c r="A559" s="10"/>
      <c r="B559" s="11"/>
      <c r="C559" s="11"/>
      <c r="D559" s="11"/>
      <c r="E559" s="11"/>
      <c r="F559" s="11"/>
    </row>
    <row r="560" spans="1:6" ht="15.75" customHeight="1">
      <c r="A560" s="10"/>
      <c r="B560" s="11"/>
      <c r="C560" s="11"/>
      <c r="D560" s="11"/>
      <c r="E560" s="11"/>
      <c r="F560" s="11"/>
    </row>
    <row r="561" spans="1:6" ht="15.75" customHeight="1">
      <c r="A561" s="10"/>
      <c r="B561" s="11"/>
      <c r="C561" s="11"/>
      <c r="D561" s="11"/>
      <c r="E561" s="11"/>
      <c r="F561" s="11"/>
    </row>
    <row r="562" spans="1:6" ht="15.75" customHeight="1">
      <c r="A562" s="10"/>
      <c r="B562" s="11"/>
      <c r="C562" s="11"/>
      <c r="D562" s="11"/>
      <c r="E562" s="11"/>
      <c r="F562" s="11"/>
    </row>
    <row r="563" spans="1:6" ht="15.75" customHeight="1">
      <c r="A563" s="10"/>
      <c r="B563" s="11"/>
      <c r="C563" s="11"/>
      <c r="D563" s="11"/>
      <c r="E563" s="11"/>
      <c r="F563" s="11"/>
    </row>
    <row r="564" spans="1:6" ht="15.75" customHeight="1">
      <c r="A564" s="10"/>
      <c r="B564" s="11"/>
      <c r="C564" s="11"/>
      <c r="D564" s="11"/>
      <c r="E564" s="11"/>
      <c r="F564" s="11"/>
    </row>
    <row r="565" spans="1:6" ht="15.75" customHeight="1">
      <c r="A565" s="10"/>
      <c r="B565" s="11"/>
      <c r="C565" s="11"/>
      <c r="D565" s="11"/>
      <c r="E565" s="11"/>
      <c r="F565" s="11"/>
    </row>
    <row r="566" spans="1:6" ht="15.75" customHeight="1">
      <c r="A566" s="10"/>
      <c r="B566" s="11"/>
      <c r="C566" s="11"/>
      <c r="D566" s="11"/>
      <c r="E566" s="11"/>
      <c r="F566" s="11"/>
    </row>
    <row r="567" spans="1:6" ht="15.75" customHeight="1">
      <c r="A567" s="10"/>
      <c r="B567" s="11"/>
      <c r="C567" s="11"/>
      <c r="D567" s="11"/>
      <c r="E567" s="11"/>
      <c r="F567" s="11"/>
    </row>
    <row r="568" spans="1:6" ht="15.75" customHeight="1">
      <c r="A568" s="10"/>
      <c r="B568" s="11"/>
      <c r="C568" s="11"/>
      <c r="D568" s="11"/>
      <c r="E568" s="11"/>
      <c r="F568" s="11"/>
    </row>
    <row r="569" spans="1:6" ht="15.75" customHeight="1">
      <c r="A569" s="10"/>
      <c r="B569" s="11"/>
      <c r="C569" s="11"/>
      <c r="D569" s="11"/>
      <c r="E569" s="11"/>
      <c r="F569" s="11"/>
    </row>
    <row r="570" spans="1:6" ht="15.75" customHeight="1">
      <c r="A570" s="10"/>
      <c r="B570" s="11"/>
      <c r="C570" s="11"/>
      <c r="D570" s="11"/>
      <c r="E570" s="11"/>
      <c r="F570" s="11"/>
    </row>
    <row r="571" spans="1:6" ht="15.75" customHeight="1">
      <c r="A571" s="10"/>
      <c r="B571" s="11"/>
      <c r="C571" s="11"/>
      <c r="D571" s="11"/>
      <c r="E571" s="11"/>
      <c r="F571" s="11"/>
    </row>
    <row r="572" spans="1:6" ht="15.75" customHeight="1">
      <c r="A572" s="10"/>
      <c r="B572" s="11"/>
      <c r="C572" s="11"/>
      <c r="D572" s="11"/>
      <c r="E572" s="11"/>
      <c r="F572" s="11"/>
    </row>
    <row r="573" spans="1:6" ht="15.75" customHeight="1">
      <c r="A573" s="10"/>
      <c r="B573" s="11"/>
      <c r="C573" s="11"/>
      <c r="D573" s="11"/>
      <c r="E573" s="11"/>
      <c r="F573" s="11"/>
    </row>
    <row r="574" spans="1:6" ht="15.75" customHeight="1">
      <c r="A574" s="10"/>
      <c r="B574" s="11"/>
      <c r="C574" s="11"/>
      <c r="D574" s="11"/>
      <c r="E574" s="11"/>
      <c r="F574" s="11"/>
    </row>
    <row r="575" spans="1:6" ht="15.75" customHeight="1">
      <c r="A575" s="10"/>
      <c r="B575" s="11"/>
      <c r="C575" s="11"/>
      <c r="D575" s="11"/>
      <c r="E575" s="11"/>
      <c r="F575" s="11"/>
    </row>
    <row r="576" spans="1:6" ht="15.75" customHeight="1">
      <c r="A576" s="10"/>
      <c r="B576" s="11"/>
      <c r="C576" s="11"/>
      <c r="D576" s="11"/>
      <c r="E576" s="11"/>
      <c r="F576" s="11"/>
    </row>
    <row r="577" spans="1:6" ht="15.75" customHeight="1">
      <c r="A577" s="10"/>
      <c r="B577" s="11"/>
      <c r="C577" s="11"/>
      <c r="D577" s="11"/>
      <c r="E577" s="11"/>
      <c r="F577" s="11"/>
    </row>
    <row r="578" spans="1:6" ht="15.75" customHeight="1">
      <c r="A578" s="10"/>
      <c r="B578" s="11"/>
      <c r="C578" s="11"/>
      <c r="D578" s="11"/>
      <c r="E578" s="11"/>
      <c r="F578" s="11"/>
    </row>
    <row r="579" spans="1:6" ht="15.75" customHeight="1">
      <c r="A579" s="10"/>
      <c r="B579" s="11"/>
      <c r="C579" s="11"/>
      <c r="D579" s="11"/>
      <c r="E579" s="11"/>
      <c r="F579" s="11"/>
    </row>
    <row r="580" spans="1:6" ht="15.75" customHeight="1">
      <c r="A580" s="10"/>
      <c r="B580" s="11"/>
      <c r="C580" s="11"/>
      <c r="D580" s="11"/>
      <c r="E580" s="11"/>
      <c r="F580" s="11"/>
    </row>
    <row r="581" spans="1:6" ht="15.75" customHeight="1">
      <c r="A581" s="10"/>
      <c r="B581" s="11"/>
      <c r="C581" s="11"/>
      <c r="D581" s="11"/>
      <c r="E581" s="11"/>
      <c r="F581" s="11"/>
    </row>
    <row r="582" spans="1:6" ht="15.75" customHeight="1">
      <c r="A582" s="10"/>
      <c r="B582" s="11"/>
      <c r="C582" s="11"/>
      <c r="D582" s="11"/>
      <c r="E582" s="11"/>
      <c r="F582" s="11"/>
    </row>
    <row r="583" spans="1:6" ht="15.75" customHeight="1">
      <c r="A583" s="10"/>
      <c r="B583" s="11"/>
      <c r="C583" s="11"/>
      <c r="D583" s="11"/>
      <c r="E583" s="11"/>
      <c r="F583" s="11"/>
    </row>
    <row r="584" spans="1:6" ht="15.75" customHeight="1">
      <c r="A584" s="10"/>
      <c r="B584" s="11"/>
      <c r="C584" s="11"/>
      <c r="D584" s="11"/>
      <c r="E584" s="11"/>
      <c r="F584" s="11"/>
    </row>
    <row r="585" spans="1:6" ht="15.75" customHeight="1">
      <c r="A585" s="10"/>
      <c r="B585" s="11"/>
      <c r="C585" s="11"/>
      <c r="D585" s="11"/>
      <c r="E585" s="11"/>
      <c r="F585" s="11"/>
    </row>
    <row r="586" spans="1:6" ht="15.75" customHeight="1">
      <c r="A586" s="10"/>
      <c r="B586" s="11"/>
      <c r="C586" s="11"/>
      <c r="D586" s="11"/>
      <c r="E586" s="11"/>
      <c r="F586" s="11"/>
    </row>
    <row r="587" spans="1:6" ht="15.75" customHeight="1">
      <c r="A587" s="10"/>
      <c r="B587" s="11"/>
      <c r="C587" s="11"/>
      <c r="D587" s="11"/>
      <c r="E587" s="11"/>
      <c r="F587" s="11"/>
    </row>
    <row r="588" spans="1:6" ht="15.75" customHeight="1">
      <c r="A588" s="10"/>
      <c r="B588" s="11"/>
      <c r="C588" s="11"/>
      <c r="D588" s="11"/>
      <c r="E588" s="11"/>
      <c r="F588" s="11"/>
    </row>
    <row r="589" spans="1:6" ht="15.75" customHeight="1">
      <c r="A589" s="10"/>
      <c r="B589" s="11"/>
      <c r="C589" s="11"/>
      <c r="D589" s="11"/>
      <c r="E589" s="11"/>
      <c r="F589" s="11"/>
    </row>
    <row r="590" spans="1:6" ht="15.75" customHeight="1">
      <c r="A590" s="10"/>
      <c r="B590" s="11"/>
      <c r="C590" s="11"/>
      <c r="D590" s="11"/>
      <c r="E590" s="11"/>
      <c r="F590" s="11"/>
    </row>
    <row r="591" spans="1:6" ht="15.75" customHeight="1">
      <c r="A591" s="10"/>
      <c r="B591" s="11"/>
      <c r="C591" s="11"/>
      <c r="D591" s="11"/>
      <c r="E591" s="11"/>
      <c r="F591" s="11"/>
    </row>
    <row r="592" spans="1:6" ht="15.75" customHeight="1">
      <c r="A592" s="10"/>
      <c r="B592" s="11"/>
      <c r="C592" s="11"/>
      <c r="D592" s="11"/>
      <c r="E592" s="11"/>
      <c r="F592" s="11"/>
    </row>
    <row r="593" spans="1:6" ht="15.75" customHeight="1">
      <c r="A593" s="10"/>
      <c r="B593" s="11"/>
      <c r="C593" s="11"/>
      <c r="D593" s="11"/>
      <c r="E593" s="11"/>
      <c r="F593" s="11"/>
    </row>
    <row r="594" spans="1:6" ht="15.75" customHeight="1">
      <c r="A594" s="10"/>
      <c r="B594" s="11"/>
      <c r="C594" s="11"/>
      <c r="D594" s="11"/>
      <c r="E594" s="11"/>
      <c r="F594" s="11"/>
    </row>
    <row r="595" spans="1:6" ht="15.75" customHeight="1">
      <c r="A595" s="10"/>
      <c r="B595" s="11"/>
      <c r="C595" s="11"/>
      <c r="D595" s="11"/>
      <c r="E595" s="11"/>
      <c r="F595" s="11"/>
    </row>
    <row r="596" spans="1:6" ht="15.75" customHeight="1">
      <c r="A596" s="10"/>
      <c r="B596" s="11"/>
      <c r="C596" s="11"/>
      <c r="D596" s="11"/>
      <c r="E596" s="11"/>
      <c r="F596" s="11"/>
    </row>
    <row r="597" spans="1:6" ht="15.75" customHeight="1">
      <c r="A597" s="10"/>
      <c r="B597" s="11"/>
      <c r="C597" s="11"/>
      <c r="D597" s="11"/>
      <c r="E597" s="11"/>
      <c r="F597" s="11"/>
    </row>
    <row r="598" spans="1:6" ht="15.75" customHeight="1">
      <c r="A598" s="10"/>
      <c r="B598" s="11"/>
      <c r="C598" s="11"/>
      <c r="D598" s="11"/>
      <c r="E598" s="11"/>
      <c r="F598" s="11"/>
    </row>
    <row r="599" spans="1:6" ht="15.75" customHeight="1">
      <c r="A599" s="10"/>
      <c r="B599" s="11"/>
      <c r="C599" s="11"/>
      <c r="D599" s="11"/>
      <c r="E599" s="11"/>
      <c r="F599" s="11"/>
    </row>
    <row r="600" spans="1:6" ht="15.75" customHeight="1">
      <c r="A600" s="10"/>
      <c r="B600" s="11"/>
      <c r="C600" s="11"/>
      <c r="D600" s="11"/>
      <c r="E600" s="11"/>
      <c r="F600" s="11"/>
    </row>
    <row r="601" spans="1:6" ht="15.75" customHeight="1">
      <c r="A601" s="10"/>
      <c r="B601" s="11"/>
      <c r="C601" s="11"/>
      <c r="D601" s="11"/>
      <c r="E601" s="11"/>
      <c r="F601" s="11"/>
    </row>
    <row r="602" spans="1:6" ht="15.75" customHeight="1">
      <c r="A602" s="10"/>
      <c r="B602" s="11"/>
      <c r="C602" s="11"/>
      <c r="D602" s="11"/>
      <c r="E602" s="11"/>
      <c r="F602" s="11"/>
    </row>
    <row r="603" spans="1:6" ht="15.75" customHeight="1">
      <c r="A603" s="10"/>
      <c r="B603" s="11"/>
      <c r="C603" s="11"/>
      <c r="D603" s="11"/>
      <c r="E603" s="11"/>
      <c r="F603" s="11"/>
    </row>
    <row r="604" spans="1:6" ht="15.75" customHeight="1">
      <c r="A604" s="10"/>
      <c r="B604" s="11"/>
      <c r="C604" s="11"/>
      <c r="D604" s="11"/>
      <c r="E604" s="11"/>
      <c r="F604" s="11"/>
    </row>
    <row r="605" spans="1:6" ht="15.75" customHeight="1">
      <c r="A605" s="10"/>
      <c r="B605" s="11"/>
      <c r="C605" s="11"/>
      <c r="D605" s="11"/>
      <c r="E605" s="11"/>
      <c r="F605" s="11"/>
    </row>
    <row r="606" spans="1:6" ht="15.75" customHeight="1">
      <c r="A606" s="10"/>
      <c r="B606" s="11"/>
      <c r="C606" s="11"/>
      <c r="D606" s="11"/>
      <c r="E606" s="11"/>
      <c r="F606" s="11"/>
    </row>
    <row r="607" spans="1:6" ht="15.75" customHeight="1">
      <c r="A607" s="10"/>
      <c r="B607" s="11"/>
      <c r="C607" s="11"/>
      <c r="D607" s="11"/>
      <c r="E607" s="11"/>
      <c r="F607" s="11"/>
    </row>
    <row r="608" spans="1:6" ht="15.75" customHeight="1">
      <c r="A608" s="10"/>
      <c r="B608" s="11"/>
      <c r="C608" s="11"/>
      <c r="D608" s="11"/>
      <c r="E608" s="11"/>
      <c r="F608" s="11"/>
    </row>
    <row r="609" spans="1:6" ht="15.75" customHeight="1">
      <c r="A609" s="10"/>
      <c r="B609" s="11"/>
      <c r="C609" s="11"/>
      <c r="D609" s="11"/>
      <c r="E609" s="11"/>
      <c r="F609" s="11"/>
    </row>
    <row r="610" spans="1:6" ht="15.75" customHeight="1">
      <c r="A610" s="10"/>
      <c r="B610" s="11"/>
      <c r="C610" s="11"/>
      <c r="D610" s="11"/>
      <c r="E610" s="11"/>
      <c r="F610" s="11"/>
    </row>
    <row r="611" spans="1:6" ht="15.75" customHeight="1">
      <c r="A611" s="10"/>
      <c r="B611" s="11"/>
      <c r="C611" s="11"/>
      <c r="D611" s="11"/>
      <c r="E611" s="11"/>
      <c r="F611" s="11"/>
    </row>
    <row r="612" spans="1:6" ht="15.75" customHeight="1">
      <c r="A612" s="10"/>
      <c r="B612" s="11"/>
      <c r="C612" s="11"/>
      <c r="D612" s="11"/>
      <c r="E612" s="11"/>
      <c r="F612" s="11"/>
    </row>
    <row r="613" spans="1:6" ht="15.75" customHeight="1">
      <c r="A613" s="10"/>
      <c r="B613" s="11"/>
      <c r="C613" s="11"/>
      <c r="D613" s="11"/>
      <c r="E613" s="11"/>
      <c r="F613" s="11"/>
    </row>
    <row r="614" spans="1:6" ht="15.75" customHeight="1">
      <c r="A614" s="10"/>
      <c r="B614" s="11"/>
      <c r="C614" s="11"/>
      <c r="D614" s="11"/>
      <c r="E614" s="11"/>
      <c r="F614" s="11"/>
    </row>
    <row r="615" spans="1:6" ht="15.75" customHeight="1">
      <c r="A615" s="10"/>
      <c r="B615" s="11"/>
      <c r="C615" s="11"/>
      <c r="D615" s="11"/>
      <c r="E615" s="11"/>
      <c r="F615" s="11"/>
    </row>
    <row r="616" spans="1:6" ht="15.75" customHeight="1">
      <c r="A616" s="10"/>
      <c r="B616" s="11"/>
      <c r="C616" s="11"/>
      <c r="D616" s="11"/>
      <c r="E616" s="11"/>
      <c r="F616" s="11"/>
    </row>
    <row r="617" spans="1:6" ht="15.75" customHeight="1">
      <c r="A617" s="10"/>
      <c r="B617" s="11"/>
      <c r="C617" s="11"/>
      <c r="D617" s="11"/>
      <c r="E617" s="11"/>
      <c r="F617" s="11"/>
    </row>
    <row r="618" spans="1:6" ht="15.75" customHeight="1">
      <c r="A618" s="10"/>
      <c r="B618" s="11"/>
      <c r="C618" s="11"/>
      <c r="D618" s="11"/>
      <c r="E618" s="11"/>
      <c r="F618" s="11"/>
    </row>
    <row r="619" spans="1:6" ht="15.75" customHeight="1">
      <c r="A619" s="10"/>
      <c r="B619" s="11"/>
      <c r="C619" s="11"/>
      <c r="D619" s="11"/>
      <c r="E619" s="11"/>
      <c r="F619" s="11"/>
    </row>
    <row r="620" spans="1:6" ht="15.75" customHeight="1">
      <c r="A620" s="10"/>
      <c r="B620" s="11"/>
      <c r="C620" s="11"/>
      <c r="D620" s="11"/>
      <c r="E620" s="11"/>
      <c r="F620" s="11"/>
    </row>
    <row r="621" spans="1:6" ht="15.75" customHeight="1">
      <c r="A621" s="10"/>
      <c r="B621" s="11"/>
      <c r="C621" s="11"/>
      <c r="D621" s="11"/>
      <c r="E621" s="11"/>
      <c r="F621" s="11"/>
    </row>
    <row r="622" spans="1:6" ht="15.75" customHeight="1">
      <c r="A622" s="10"/>
      <c r="B622" s="11"/>
      <c r="C622" s="11"/>
      <c r="D622" s="11"/>
      <c r="E622" s="11"/>
      <c r="F622" s="11"/>
    </row>
    <row r="623" spans="1:6" ht="15.75" customHeight="1">
      <c r="A623" s="10"/>
      <c r="B623" s="11"/>
      <c r="C623" s="11"/>
      <c r="D623" s="11"/>
      <c r="E623" s="11"/>
      <c r="F623" s="11"/>
    </row>
    <row r="624" spans="1:6" ht="15.75" customHeight="1">
      <c r="A624" s="10"/>
      <c r="B624" s="11"/>
      <c r="C624" s="11"/>
      <c r="D624" s="11"/>
      <c r="E624" s="11"/>
      <c r="F624" s="11"/>
    </row>
    <row r="625" spans="1:6" ht="15.75" customHeight="1">
      <c r="A625" s="10"/>
      <c r="B625" s="11"/>
      <c r="C625" s="11"/>
      <c r="D625" s="11"/>
      <c r="E625" s="11"/>
      <c r="F625" s="11"/>
    </row>
    <row r="626" spans="1:6" ht="15.75" customHeight="1">
      <c r="A626" s="10"/>
      <c r="B626" s="11"/>
      <c r="C626" s="11"/>
      <c r="D626" s="11"/>
      <c r="E626" s="11"/>
      <c r="F626" s="11"/>
    </row>
    <row r="627" spans="1:6" ht="15.75" customHeight="1">
      <c r="A627" s="10"/>
      <c r="B627" s="11"/>
      <c r="C627" s="11"/>
      <c r="D627" s="11"/>
      <c r="E627" s="11"/>
      <c r="F627" s="11"/>
    </row>
    <row r="628" spans="1:6" ht="15.75" customHeight="1">
      <c r="A628" s="10"/>
      <c r="B628" s="11"/>
      <c r="C628" s="11"/>
      <c r="D628" s="11"/>
      <c r="E628" s="11"/>
      <c r="F628" s="11"/>
    </row>
    <row r="629" spans="1:6" ht="15.75" customHeight="1">
      <c r="A629" s="10"/>
      <c r="B629" s="11"/>
      <c r="C629" s="11"/>
      <c r="D629" s="11"/>
      <c r="E629" s="11"/>
      <c r="F629" s="11"/>
    </row>
    <row r="630" spans="1:6" ht="15.75" customHeight="1">
      <c r="A630" s="10"/>
      <c r="B630" s="11"/>
      <c r="C630" s="11"/>
      <c r="D630" s="11"/>
      <c r="E630" s="11"/>
      <c r="F630" s="11"/>
    </row>
    <row r="631" spans="1:6" ht="15.75" customHeight="1">
      <c r="A631" s="10"/>
      <c r="B631" s="11"/>
      <c r="C631" s="11"/>
      <c r="D631" s="11"/>
      <c r="E631" s="11"/>
      <c r="F631" s="11"/>
    </row>
    <row r="632" spans="1:6" ht="15.75" customHeight="1">
      <c r="A632" s="10"/>
      <c r="B632" s="11"/>
      <c r="C632" s="11"/>
      <c r="D632" s="11"/>
      <c r="E632" s="11"/>
      <c r="F632" s="11"/>
    </row>
    <row r="633" spans="1:6" ht="15.75" customHeight="1">
      <c r="A633" s="10"/>
      <c r="B633" s="11"/>
      <c r="C633" s="11"/>
      <c r="D633" s="11"/>
      <c r="E633" s="11"/>
      <c r="F633" s="11"/>
    </row>
    <row r="634" spans="1:6" ht="15.75" customHeight="1">
      <c r="A634" s="10"/>
      <c r="B634" s="11"/>
      <c r="C634" s="11"/>
      <c r="D634" s="11"/>
      <c r="E634" s="11"/>
      <c r="F634" s="11"/>
    </row>
    <row r="635" spans="1:6" ht="15.75" customHeight="1">
      <c r="A635" s="10"/>
      <c r="B635" s="11"/>
      <c r="C635" s="11"/>
      <c r="D635" s="11"/>
      <c r="E635" s="11"/>
      <c r="F635" s="11"/>
    </row>
    <row r="636" spans="1:6" ht="15.75" customHeight="1">
      <c r="A636" s="10"/>
      <c r="B636" s="11"/>
      <c r="C636" s="11"/>
      <c r="D636" s="11"/>
      <c r="E636" s="11"/>
      <c r="F636" s="11"/>
    </row>
    <row r="637" spans="1:6" ht="15.75" customHeight="1">
      <c r="A637" s="10"/>
      <c r="B637" s="11"/>
      <c r="C637" s="11"/>
      <c r="D637" s="11"/>
      <c r="E637" s="11"/>
      <c r="F637" s="11"/>
    </row>
    <row r="638" spans="1:6" ht="15.75" customHeight="1">
      <c r="A638" s="10"/>
      <c r="B638" s="11"/>
      <c r="C638" s="11"/>
      <c r="D638" s="11"/>
      <c r="E638" s="11"/>
      <c r="F638" s="11"/>
    </row>
    <row r="639" spans="1:6" ht="15.75" customHeight="1">
      <c r="A639" s="10"/>
      <c r="B639" s="11"/>
      <c r="C639" s="11"/>
      <c r="D639" s="11"/>
      <c r="E639" s="11"/>
      <c r="F639" s="11"/>
    </row>
    <row r="640" spans="1:6" ht="15.75" customHeight="1">
      <c r="A640" s="10"/>
      <c r="B640" s="11"/>
      <c r="C640" s="11"/>
      <c r="D640" s="11"/>
      <c r="E640" s="11"/>
      <c r="F640" s="11"/>
    </row>
    <row r="641" spans="1:6" ht="15.75" customHeight="1">
      <c r="A641" s="10"/>
      <c r="B641" s="11"/>
      <c r="C641" s="11"/>
      <c r="D641" s="11"/>
      <c r="E641" s="11"/>
      <c r="F641" s="11"/>
    </row>
    <row r="642" spans="1:6" ht="15.75" customHeight="1">
      <c r="A642" s="10"/>
      <c r="B642" s="11"/>
      <c r="C642" s="11"/>
      <c r="D642" s="11"/>
      <c r="E642" s="11"/>
      <c r="F642" s="11"/>
    </row>
    <row r="643" spans="1:6" ht="15.75" customHeight="1">
      <c r="A643" s="10"/>
      <c r="B643" s="11"/>
      <c r="C643" s="11"/>
      <c r="D643" s="11"/>
      <c r="E643" s="11"/>
      <c r="F643" s="11"/>
    </row>
    <row r="644" spans="1:6" ht="15.75" customHeight="1">
      <c r="A644" s="10"/>
      <c r="B644" s="11"/>
      <c r="C644" s="11"/>
      <c r="D644" s="11"/>
      <c r="E644" s="11"/>
      <c r="F644" s="11"/>
    </row>
    <row r="645" spans="1:6" ht="15.75" customHeight="1">
      <c r="A645" s="10"/>
      <c r="B645" s="11"/>
      <c r="C645" s="11"/>
      <c r="D645" s="11"/>
      <c r="E645" s="11"/>
      <c r="F645" s="11"/>
    </row>
    <row r="646" spans="1:6" ht="15.75" customHeight="1">
      <c r="A646" s="10"/>
      <c r="B646" s="11"/>
      <c r="C646" s="11"/>
      <c r="D646" s="11"/>
      <c r="E646" s="11"/>
      <c r="F646" s="11"/>
    </row>
    <row r="647" spans="1:6" ht="15.75" customHeight="1">
      <c r="A647" s="10"/>
      <c r="B647" s="11"/>
      <c r="C647" s="11"/>
      <c r="D647" s="11"/>
      <c r="E647" s="11"/>
      <c r="F647" s="11"/>
    </row>
    <row r="648" spans="1:6" ht="15.75" customHeight="1">
      <c r="A648" s="10"/>
      <c r="B648" s="11"/>
      <c r="C648" s="11"/>
      <c r="D648" s="11"/>
      <c r="E648" s="11"/>
      <c r="F648" s="11"/>
    </row>
    <row r="649" spans="1:6" ht="15.75" customHeight="1">
      <c r="A649" s="10"/>
      <c r="B649" s="11"/>
      <c r="C649" s="11"/>
      <c r="D649" s="11"/>
      <c r="E649" s="11"/>
      <c r="F649" s="11"/>
    </row>
    <row r="650" spans="1:6" ht="15.75" customHeight="1">
      <c r="A650" s="10"/>
      <c r="B650" s="11"/>
      <c r="C650" s="11"/>
      <c r="D650" s="11"/>
      <c r="E650" s="11"/>
      <c r="F650" s="11"/>
    </row>
    <row r="651" spans="1:6" ht="15.75" customHeight="1">
      <c r="A651" s="10"/>
      <c r="B651" s="11"/>
      <c r="C651" s="11"/>
      <c r="D651" s="11"/>
      <c r="E651" s="11"/>
      <c r="F651" s="11"/>
    </row>
    <row r="652" spans="1:6" ht="15.75" customHeight="1">
      <c r="A652" s="10"/>
      <c r="B652" s="11"/>
      <c r="C652" s="11"/>
      <c r="D652" s="11"/>
      <c r="E652" s="11"/>
      <c r="F652" s="11"/>
    </row>
    <row r="653" spans="1:6" ht="15.75" customHeight="1">
      <c r="A653" s="10"/>
      <c r="B653" s="11"/>
      <c r="C653" s="11"/>
      <c r="D653" s="11"/>
      <c r="E653" s="11"/>
      <c r="F653" s="11"/>
    </row>
    <row r="654" spans="1:6" ht="15.75" customHeight="1">
      <c r="A654" s="10"/>
      <c r="B654" s="11"/>
      <c r="C654" s="11"/>
      <c r="D654" s="11"/>
      <c r="E654" s="11"/>
      <c r="F654" s="11"/>
    </row>
    <row r="655" spans="1:6" ht="15.75" customHeight="1">
      <c r="A655" s="10"/>
      <c r="B655" s="11"/>
      <c r="C655" s="11"/>
      <c r="D655" s="11"/>
      <c r="E655" s="11"/>
      <c r="F655" s="11"/>
    </row>
    <row r="656" spans="1:6" ht="15.75" customHeight="1">
      <c r="A656" s="10"/>
      <c r="B656" s="11"/>
      <c r="C656" s="11"/>
      <c r="D656" s="11"/>
      <c r="E656" s="11"/>
      <c r="F656" s="11"/>
    </row>
    <row r="657" spans="1:6" ht="15.75" customHeight="1">
      <c r="A657" s="10"/>
      <c r="B657" s="11"/>
      <c r="C657" s="11"/>
      <c r="D657" s="11"/>
      <c r="E657" s="11"/>
      <c r="F657" s="11"/>
    </row>
    <row r="658" spans="1:6" ht="15.75" customHeight="1">
      <c r="A658" s="10"/>
      <c r="B658" s="11"/>
      <c r="C658" s="11"/>
      <c r="D658" s="11"/>
      <c r="E658" s="11"/>
      <c r="F658" s="11"/>
    </row>
    <row r="659" spans="1:6" ht="15.75" customHeight="1">
      <c r="A659" s="10"/>
      <c r="B659" s="11"/>
      <c r="C659" s="11"/>
      <c r="D659" s="11"/>
      <c r="E659" s="11"/>
      <c r="F659" s="11"/>
    </row>
    <row r="660" spans="1:6" ht="15.75" customHeight="1">
      <c r="A660" s="10"/>
      <c r="B660" s="11"/>
      <c r="C660" s="11"/>
      <c r="D660" s="11"/>
      <c r="E660" s="11"/>
      <c r="F660" s="11"/>
    </row>
    <row r="661" spans="1:6" ht="15.75" customHeight="1">
      <c r="A661" s="10"/>
      <c r="B661" s="11"/>
      <c r="C661" s="11"/>
      <c r="D661" s="11"/>
      <c r="E661" s="11"/>
      <c r="F661" s="11"/>
    </row>
    <row r="662" spans="1:6" ht="15.75" customHeight="1">
      <c r="A662" s="10"/>
      <c r="B662" s="11"/>
      <c r="C662" s="11"/>
      <c r="D662" s="11"/>
      <c r="E662" s="11"/>
      <c r="F662" s="11"/>
    </row>
    <row r="663" spans="1:6" ht="15.75" customHeight="1">
      <c r="A663" s="10"/>
      <c r="B663" s="11"/>
      <c r="C663" s="11"/>
      <c r="D663" s="11"/>
      <c r="E663" s="11"/>
      <c r="F663" s="11"/>
    </row>
    <row r="664" spans="1:6" ht="15.75" customHeight="1">
      <c r="A664" s="10"/>
      <c r="B664" s="11"/>
      <c r="C664" s="11"/>
      <c r="D664" s="11"/>
      <c r="E664" s="11"/>
      <c r="F664" s="11"/>
    </row>
    <row r="665" spans="1:6" ht="15.75" customHeight="1">
      <c r="A665" s="10"/>
      <c r="B665" s="11"/>
      <c r="C665" s="11"/>
      <c r="D665" s="11"/>
      <c r="E665" s="11"/>
      <c r="F665" s="11"/>
    </row>
    <row r="666" spans="1:6" ht="15.75" customHeight="1">
      <c r="A666" s="10"/>
      <c r="B666" s="11"/>
      <c r="C666" s="11"/>
      <c r="D666" s="11"/>
      <c r="E666" s="11"/>
      <c r="F666" s="11"/>
    </row>
    <row r="667" spans="1:6" ht="15.75" customHeight="1">
      <c r="A667" s="10"/>
      <c r="B667" s="11"/>
      <c r="C667" s="11"/>
      <c r="D667" s="11"/>
      <c r="E667" s="11"/>
      <c r="F667" s="11"/>
    </row>
    <row r="668" spans="1:6" ht="15.75" customHeight="1">
      <c r="A668" s="10"/>
      <c r="B668" s="11"/>
      <c r="C668" s="11"/>
      <c r="D668" s="11"/>
      <c r="E668" s="11"/>
      <c r="F668" s="11"/>
    </row>
    <row r="669" spans="1:6" ht="15.75" customHeight="1">
      <c r="A669" s="10"/>
      <c r="B669" s="11"/>
      <c r="C669" s="11"/>
      <c r="D669" s="11"/>
      <c r="E669" s="11"/>
      <c r="F669" s="11"/>
    </row>
    <row r="670" spans="1:6" ht="15.75" customHeight="1">
      <c r="A670" s="10"/>
      <c r="B670" s="11"/>
      <c r="C670" s="11"/>
      <c r="D670" s="11"/>
      <c r="E670" s="11"/>
      <c r="F670" s="11"/>
    </row>
    <row r="671" spans="1:6" ht="15.75" customHeight="1">
      <c r="A671" s="10"/>
      <c r="B671" s="11"/>
      <c r="C671" s="11"/>
      <c r="D671" s="11"/>
      <c r="E671" s="11"/>
      <c r="F671" s="11"/>
    </row>
    <row r="672" spans="1:6" ht="15.75" customHeight="1">
      <c r="A672" s="10"/>
      <c r="B672" s="11"/>
      <c r="C672" s="11"/>
      <c r="D672" s="11"/>
      <c r="E672" s="11"/>
      <c r="F672" s="11"/>
    </row>
    <row r="673" spans="1:6" ht="15.75" customHeight="1">
      <c r="A673" s="10"/>
      <c r="B673" s="11"/>
      <c r="C673" s="11"/>
      <c r="D673" s="11"/>
      <c r="E673" s="11"/>
      <c r="F673" s="11"/>
    </row>
    <row r="674" spans="1:6" ht="15.75" customHeight="1">
      <c r="A674" s="10"/>
      <c r="B674" s="11"/>
      <c r="C674" s="11"/>
      <c r="D674" s="11"/>
      <c r="E674" s="11"/>
      <c r="F674" s="11"/>
    </row>
    <row r="675" spans="1:6" ht="15.75" customHeight="1">
      <c r="A675" s="10"/>
      <c r="B675" s="11"/>
      <c r="C675" s="11"/>
      <c r="D675" s="11"/>
      <c r="E675" s="11"/>
      <c r="F675" s="11"/>
    </row>
    <row r="676" spans="1:6" ht="15.75" customHeight="1">
      <c r="A676" s="10"/>
      <c r="B676" s="11"/>
      <c r="C676" s="11"/>
      <c r="D676" s="11"/>
      <c r="E676" s="11"/>
      <c r="F676" s="11"/>
    </row>
    <row r="677" spans="1:6" ht="15.75" customHeight="1">
      <c r="A677" s="10"/>
      <c r="B677" s="11"/>
      <c r="C677" s="11"/>
      <c r="D677" s="11"/>
      <c r="E677" s="11"/>
      <c r="F677" s="11"/>
    </row>
    <row r="678" spans="1:6" ht="15.75" customHeight="1">
      <c r="A678" s="10"/>
      <c r="B678" s="11"/>
      <c r="C678" s="11"/>
      <c r="D678" s="11"/>
      <c r="E678" s="11"/>
      <c r="F678" s="11"/>
    </row>
    <row r="679" spans="1:6" ht="15.75" customHeight="1">
      <c r="A679" s="10"/>
      <c r="B679" s="11"/>
      <c r="C679" s="11"/>
      <c r="D679" s="11"/>
      <c r="E679" s="11"/>
      <c r="F679" s="11"/>
    </row>
    <row r="680" spans="1:6" ht="15.75" customHeight="1">
      <c r="A680" s="10"/>
      <c r="B680" s="11"/>
      <c r="C680" s="11"/>
      <c r="D680" s="11"/>
      <c r="E680" s="11"/>
      <c r="F680" s="11"/>
    </row>
    <row r="681" spans="1:6" ht="15.75" customHeight="1">
      <c r="A681" s="10"/>
      <c r="B681" s="11"/>
      <c r="C681" s="11"/>
      <c r="D681" s="11"/>
      <c r="E681" s="11"/>
      <c r="F681" s="11"/>
    </row>
    <row r="682" spans="1:6" ht="15.75" customHeight="1">
      <c r="A682" s="10"/>
      <c r="B682" s="11"/>
      <c r="C682" s="11"/>
      <c r="D682" s="11"/>
      <c r="E682" s="11"/>
      <c r="F682" s="11"/>
    </row>
    <row r="683" spans="1:6" ht="15.75" customHeight="1">
      <c r="A683" s="10"/>
      <c r="B683" s="11"/>
      <c r="C683" s="11"/>
      <c r="D683" s="11"/>
      <c r="E683" s="11"/>
      <c r="F683" s="11"/>
    </row>
    <row r="684" spans="1:6" ht="15.75" customHeight="1">
      <c r="A684" s="10"/>
      <c r="B684" s="11"/>
      <c r="C684" s="11"/>
      <c r="D684" s="11"/>
      <c r="E684" s="11"/>
      <c r="F684" s="11"/>
    </row>
    <row r="685" spans="1:6" ht="15.75" customHeight="1">
      <c r="A685" s="10"/>
      <c r="B685" s="11"/>
      <c r="C685" s="11"/>
      <c r="D685" s="11"/>
      <c r="E685" s="11"/>
      <c r="F685" s="11"/>
    </row>
    <row r="686" spans="1:6" ht="15.75" customHeight="1">
      <c r="A686" s="10"/>
      <c r="B686" s="11"/>
      <c r="C686" s="11"/>
      <c r="D686" s="11"/>
      <c r="E686" s="11"/>
      <c r="F686" s="11"/>
    </row>
    <row r="687" spans="1:6" ht="15.75" customHeight="1">
      <c r="A687" s="10"/>
      <c r="B687" s="11"/>
      <c r="C687" s="11"/>
      <c r="D687" s="11"/>
      <c r="E687" s="11"/>
      <c r="F687" s="11"/>
    </row>
    <row r="688" spans="1:6" ht="15.75" customHeight="1">
      <c r="A688" s="10"/>
      <c r="B688" s="11"/>
      <c r="C688" s="11"/>
      <c r="D688" s="11"/>
      <c r="E688" s="11"/>
      <c r="F688" s="11"/>
    </row>
    <row r="689" spans="1:6" ht="15.75" customHeight="1">
      <c r="A689" s="10"/>
      <c r="B689" s="11"/>
      <c r="C689" s="11"/>
      <c r="D689" s="11"/>
      <c r="E689" s="11"/>
      <c r="F689" s="11"/>
    </row>
    <row r="690" spans="1:6" ht="15.75" customHeight="1">
      <c r="A690" s="10"/>
      <c r="B690" s="11"/>
      <c r="C690" s="11"/>
      <c r="D690" s="11"/>
      <c r="E690" s="11"/>
      <c r="F690" s="11"/>
    </row>
    <row r="691" spans="1:6" ht="15.75" customHeight="1">
      <c r="A691" s="10"/>
      <c r="B691" s="11"/>
      <c r="C691" s="11"/>
      <c r="D691" s="11"/>
      <c r="E691" s="11"/>
      <c r="F691" s="11"/>
    </row>
    <row r="692" spans="1:6" ht="15.75" customHeight="1">
      <c r="A692" s="10"/>
      <c r="B692" s="11"/>
      <c r="C692" s="11"/>
      <c r="D692" s="11"/>
      <c r="E692" s="11"/>
      <c r="F692" s="11"/>
    </row>
    <row r="693" spans="1:6" ht="15.75" customHeight="1">
      <c r="A693" s="10"/>
      <c r="B693" s="11"/>
      <c r="C693" s="11"/>
      <c r="D693" s="11"/>
      <c r="E693" s="11"/>
      <c r="F693" s="11"/>
    </row>
    <row r="694" spans="1:6" ht="15.75" customHeight="1">
      <c r="A694" s="10"/>
      <c r="B694" s="11"/>
      <c r="C694" s="11"/>
      <c r="D694" s="11"/>
      <c r="E694" s="11"/>
      <c r="F694" s="11"/>
    </row>
    <row r="695" spans="1:6" ht="15.75" customHeight="1">
      <c r="A695" s="10"/>
      <c r="B695" s="11"/>
      <c r="C695" s="11"/>
      <c r="D695" s="11"/>
      <c r="E695" s="11"/>
      <c r="F695" s="11"/>
    </row>
    <row r="696" spans="1:6" ht="15.75" customHeight="1">
      <c r="A696" s="10"/>
      <c r="B696" s="11"/>
      <c r="C696" s="11"/>
      <c r="D696" s="11"/>
      <c r="E696" s="11"/>
      <c r="F696" s="11"/>
    </row>
    <row r="697" spans="1:6" ht="15.75" customHeight="1">
      <c r="A697" s="10"/>
      <c r="B697" s="11"/>
      <c r="C697" s="11"/>
      <c r="D697" s="11"/>
      <c r="E697" s="11"/>
      <c r="F697" s="11"/>
    </row>
    <row r="698" spans="1:6" ht="15.75" customHeight="1">
      <c r="A698" s="10"/>
      <c r="B698" s="11"/>
      <c r="C698" s="11"/>
      <c r="D698" s="11"/>
      <c r="E698" s="11"/>
      <c r="F698" s="11"/>
    </row>
    <row r="699" spans="1:6" ht="15.75" customHeight="1">
      <c r="A699" s="10"/>
      <c r="B699" s="11"/>
      <c r="C699" s="11"/>
      <c r="D699" s="11"/>
      <c r="E699" s="11"/>
      <c r="F699" s="11"/>
    </row>
    <row r="700" spans="1:6" ht="15.75" customHeight="1">
      <c r="A700" s="10"/>
      <c r="B700" s="11"/>
      <c r="C700" s="11"/>
      <c r="D700" s="11"/>
      <c r="E700" s="11"/>
      <c r="F700" s="11"/>
    </row>
    <row r="701" spans="1:6" ht="15.75" customHeight="1">
      <c r="A701" s="10"/>
      <c r="B701" s="11"/>
      <c r="C701" s="11"/>
      <c r="D701" s="11"/>
      <c r="E701" s="11"/>
      <c r="F701" s="11"/>
    </row>
    <row r="702" spans="1:6" ht="15.75" customHeight="1">
      <c r="A702" s="10"/>
      <c r="B702" s="11"/>
      <c r="C702" s="11"/>
      <c r="D702" s="11"/>
      <c r="E702" s="11"/>
      <c r="F702" s="11"/>
    </row>
    <row r="703" spans="1:6" ht="15.75" customHeight="1">
      <c r="A703" s="10"/>
      <c r="B703" s="11"/>
      <c r="C703" s="11"/>
      <c r="D703" s="11"/>
      <c r="E703" s="11"/>
      <c r="F703" s="11"/>
    </row>
    <row r="704" spans="1:6" ht="15.75" customHeight="1">
      <c r="A704" s="10"/>
      <c r="B704" s="11"/>
      <c r="C704" s="11"/>
      <c r="D704" s="11"/>
      <c r="E704" s="11"/>
      <c r="F704" s="11"/>
    </row>
    <row r="705" spans="1:6" ht="15.75" customHeight="1">
      <c r="A705" s="10"/>
      <c r="B705" s="11"/>
      <c r="C705" s="11"/>
      <c r="D705" s="11"/>
      <c r="E705" s="11"/>
      <c r="F705" s="11"/>
    </row>
    <row r="706" spans="1:6" ht="15.75" customHeight="1">
      <c r="A706" s="10"/>
      <c r="B706" s="11"/>
      <c r="C706" s="11"/>
      <c r="D706" s="11"/>
      <c r="E706" s="11"/>
      <c r="F706" s="11"/>
    </row>
    <row r="707" spans="1:6" ht="15.75" customHeight="1">
      <c r="A707" s="10"/>
      <c r="B707" s="11"/>
      <c r="C707" s="11"/>
      <c r="D707" s="11"/>
      <c r="E707" s="11"/>
      <c r="F707" s="11"/>
    </row>
    <row r="708" spans="1:6" ht="15.75" customHeight="1">
      <c r="A708" s="10"/>
      <c r="B708" s="11"/>
      <c r="C708" s="11"/>
      <c r="D708" s="11"/>
      <c r="E708" s="11"/>
      <c r="F708" s="11"/>
    </row>
    <row r="709" spans="1:6" ht="15.75" customHeight="1">
      <c r="A709" s="10"/>
      <c r="B709" s="11"/>
      <c r="C709" s="11"/>
      <c r="D709" s="11"/>
      <c r="E709" s="11"/>
      <c r="F709" s="11"/>
    </row>
    <row r="710" spans="1:6" ht="15.75" customHeight="1">
      <c r="A710" s="10"/>
      <c r="B710" s="11"/>
      <c r="C710" s="11"/>
      <c r="D710" s="11"/>
      <c r="E710" s="11"/>
      <c r="F710" s="11"/>
    </row>
    <row r="711" spans="1:6" ht="15.75" customHeight="1">
      <c r="A711" s="10"/>
      <c r="B711" s="11"/>
      <c r="C711" s="11"/>
      <c r="D711" s="11"/>
      <c r="E711" s="11"/>
      <c r="F711" s="11"/>
    </row>
    <row r="712" spans="1:6" ht="15.75" customHeight="1">
      <c r="A712" s="10"/>
      <c r="B712" s="11"/>
      <c r="C712" s="11"/>
      <c r="D712" s="11"/>
      <c r="E712" s="11"/>
      <c r="F712" s="11"/>
    </row>
    <row r="713" spans="1:6" ht="15.75" customHeight="1">
      <c r="A713" s="10"/>
      <c r="B713" s="11"/>
      <c r="C713" s="11"/>
      <c r="D713" s="11"/>
      <c r="E713" s="11"/>
      <c r="F713" s="11"/>
    </row>
    <row r="714" spans="1:6" ht="15.75" customHeight="1">
      <c r="A714" s="10"/>
      <c r="B714" s="11"/>
      <c r="C714" s="11"/>
      <c r="D714" s="11"/>
      <c r="E714" s="11"/>
      <c r="F714" s="11"/>
    </row>
    <row r="715" spans="1:6" ht="15.75" customHeight="1">
      <c r="A715" s="10"/>
      <c r="B715" s="11"/>
      <c r="C715" s="11"/>
      <c r="D715" s="11"/>
      <c r="E715" s="11"/>
      <c r="F715" s="11"/>
    </row>
    <row r="716" spans="1:6" ht="15.75" customHeight="1">
      <c r="A716" s="10"/>
      <c r="B716" s="11"/>
      <c r="C716" s="11"/>
      <c r="D716" s="11"/>
      <c r="E716" s="11"/>
      <c r="F716" s="11"/>
    </row>
    <row r="717" spans="1:6" ht="15.75" customHeight="1">
      <c r="A717" s="10"/>
      <c r="B717" s="11"/>
      <c r="C717" s="11"/>
      <c r="D717" s="11"/>
      <c r="E717" s="11"/>
      <c r="F717" s="11"/>
    </row>
    <row r="718" spans="1:6" ht="15.75" customHeight="1">
      <c r="A718" s="10"/>
      <c r="B718" s="11"/>
      <c r="C718" s="11"/>
      <c r="D718" s="11"/>
      <c r="E718" s="11"/>
      <c r="F718" s="11"/>
    </row>
    <row r="719" spans="1:6" ht="15.75" customHeight="1">
      <c r="A719" s="10"/>
      <c r="B719" s="11"/>
      <c r="C719" s="11"/>
      <c r="D719" s="11"/>
      <c r="E719" s="11"/>
      <c r="F719" s="11"/>
    </row>
    <row r="720" spans="1:6" ht="15.75" customHeight="1">
      <c r="A720" s="10"/>
      <c r="B720" s="11"/>
      <c r="C720" s="11"/>
      <c r="D720" s="11"/>
      <c r="E720" s="11"/>
      <c r="F720" s="11"/>
    </row>
    <row r="721" spans="1:6" ht="15.75" customHeight="1">
      <c r="A721" s="10"/>
      <c r="B721" s="11"/>
      <c r="C721" s="11"/>
      <c r="D721" s="11"/>
      <c r="E721" s="11"/>
      <c r="F721" s="11"/>
    </row>
    <row r="722" spans="1:6" ht="15.75" customHeight="1">
      <c r="A722" s="10"/>
      <c r="B722" s="11"/>
      <c r="C722" s="11"/>
      <c r="D722" s="11"/>
      <c r="E722" s="11"/>
      <c r="F722" s="11"/>
    </row>
    <row r="723" spans="1:6" ht="15.75" customHeight="1">
      <c r="A723" s="10"/>
      <c r="B723" s="11"/>
      <c r="C723" s="11"/>
      <c r="D723" s="11"/>
      <c r="E723" s="11"/>
      <c r="F723" s="11"/>
    </row>
    <row r="724" spans="1:6" ht="15.75" customHeight="1">
      <c r="A724" s="10"/>
      <c r="B724" s="11"/>
      <c r="C724" s="11"/>
      <c r="D724" s="11"/>
      <c r="E724" s="11"/>
      <c r="F724" s="11"/>
    </row>
    <row r="725" spans="1:6" ht="15.75" customHeight="1">
      <c r="A725" s="10"/>
      <c r="B725" s="11"/>
      <c r="C725" s="11"/>
      <c r="D725" s="11"/>
      <c r="E725" s="11"/>
      <c r="F725" s="11"/>
    </row>
    <row r="726" spans="1:6" ht="15.75" customHeight="1">
      <c r="A726" s="10"/>
      <c r="B726" s="11"/>
      <c r="C726" s="11"/>
      <c r="D726" s="11"/>
      <c r="E726" s="11"/>
      <c r="F726" s="11"/>
    </row>
    <row r="727" spans="1:6" ht="15.75" customHeight="1">
      <c r="A727" s="10"/>
      <c r="B727" s="11"/>
      <c r="C727" s="11"/>
      <c r="D727" s="11"/>
      <c r="E727" s="11"/>
      <c r="F727" s="11"/>
    </row>
    <row r="728" spans="1:6" ht="15.75" customHeight="1">
      <c r="A728" s="10"/>
      <c r="B728" s="11"/>
      <c r="C728" s="11"/>
      <c r="D728" s="11"/>
      <c r="E728" s="11"/>
      <c r="F728" s="11"/>
    </row>
    <row r="729" spans="1:6" ht="15.75" customHeight="1">
      <c r="A729" s="10"/>
      <c r="B729" s="11"/>
      <c r="C729" s="11"/>
      <c r="D729" s="11"/>
      <c r="E729" s="11"/>
      <c r="F729" s="11"/>
    </row>
    <row r="730" spans="1:6" ht="15.75" customHeight="1">
      <c r="A730" s="10"/>
      <c r="B730" s="11"/>
      <c r="C730" s="11"/>
      <c r="D730" s="11"/>
      <c r="E730" s="11"/>
      <c r="F730" s="11"/>
    </row>
    <row r="731" spans="1:6" ht="15.75" customHeight="1">
      <c r="A731" s="10"/>
      <c r="B731" s="11"/>
      <c r="C731" s="11"/>
      <c r="D731" s="11"/>
      <c r="E731" s="11"/>
      <c r="F731" s="11"/>
    </row>
    <row r="732" spans="1:6" ht="15.75" customHeight="1">
      <c r="A732" s="10"/>
      <c r="B732" s="11"/>
      <c r="C732" s="11"/>
      <c r="D732" s="11"/>
      <c r="E732" s="11"/>
      <c r="F732" s="11"/>
    </row>
    <row r="733" spans="1:6" ht="15.75" customHeight="1">
      <c r="A733" s="10"/>
      <c r="B733" s="11"/>
      <c r="C733" s="11"/>
      <c r="D733" s="11"/>
      <c r="E733" s="11"/>
      <c r="F733" s="11"/>
    </row>
    <row r="734" spans="1:6" ht="15.75" customHeight="1">
      <c r="A734" s="10"/>
      <c r="B734" s="11"/>
      <c r="C734" s="11"/>
      <c r="D734" s="11"/>
      <c r="E734" s="11"/>
      <c r="F734" s="11"/>
    </row>
    <row r="735" spans="1:6" ht="15.75" customHeight="1">
      <c r="A735" s="10"/>
      <c r="B735" s="11"/>
      <c r="C735" s="11"/>
      <c r="D735" s="11"/>
      <c r="E735" s="11"/>
      <c r="F735" s="11"/>
    </row>
    <row r="736" spans="1:6" ht="15.75" customHeight="1">
      <c r="A736" s="10"/>
      <c r="B736" s="11"/>
      <c r="C736" s="11"/>
      <c r="D736" s="11"/>
      <c r="E736" s="11"/>
      <c r="F736" s="11"/>
    </row>
    <row r="737" spans="1:6" ht="15.75" customHeight="1">
      <c r="A737" s="10"/>
      <c r="B737" s="11"/>
      <c r="C737" s="11"/>
      <c r="D737" s="11"/>
      <c r="E737" s="11"/>
      <c r="F737" s="11"/>
    </row>
    <row r="738" spans="1:6" ht="15.75" customHeight="1">
      <c r="A738" s="10"/>
      <c r="B738" s="11"/>
      <c r="C738" s="11"/>
      <c r="D738" s="11"/>
      <c r="E738" s="11"/>
      <c r="F738" s="11"/>
    </row>
    <row r="739" spans="1:6" ht="15.75" customHeight="1">
      <c r="A739" s="10"/>
      <c r="B739" s="11"/>
      <c r="C739" s="11"/>
      <c r="D739" s="11"/>
      <c r="E739" s="11"/>
      <c r="F739" s="11"/>
    </row>
    <row r="740" spans="1:6" ht="15.75" customHeight="1">
      <c r="A740" s="10"/>
      <c r="B740" s="11"/>
      <c r="C740" s="11"/>
      <c r="D740" s="11"/>
      <c r="E740" s="11"/>
      <c r="F740" s="11"/>
    </row>
    <row r="741" spans="1:6" ht="15.75" customHeight="1">
      <c r="A741" s="10"/>
      <c r="B741" s="11"/>
      <c r="C741" s="11"/>
      <c r="D741" s="11"/>
      <c r="E741" s="11"/>
      <c r="F741" s="11"/>
    </row>
    <row r="742" spans="1:6" ht="15.75" customHeight="1">
      <c r="A742" s="10"/>
      <c r="B742" s="11"/>
      <c r="C742" s="11"/>
      <c r="D742" s="11"/>
      <c r="E742" s="11"/>
      <c r="F742" s="11"/>
    </row>
    <row r="743" spans="1:6" ht="15.75" customHeight="1">
      <c r="A743" s="10"/>
      <c r="B743" s="11"/>
      <c r="C743" s="11"/>
      <c r="D743" s="11"/>
      <c r="E743" s="11"/>
      <c r="F743" s="11"/>
    </row>
    <row r="744" spans="1:6" ht="15.75" customHeight="1">
      <c r="A744" s="10"/>
      <c r="B744" s="11"/>
      <c r="C744" s="11"/>
      <c r="D744" s="11"/>
      <c r="E744" s="11"/>
      <c r="F744" s="11"/>
    </row>
    <row r="745" spans="1:6" ht="15.75" customHeight="1">
      <c r="A745" s="10"/>
      <c r="B745" s="11"/>
      <c r="C745" s="11"/>
      <c r="D745" s="11"/>
      <c r="E745" s="11"/>
      <c r="F745" s="11"/>
    </row>
    <row r="746" spans="1:6" ht="15.75" customHeight="1">
      <c r="A746" s="10"/>
      <c r="B746" s="11"/>
      <c r="C746" s="11"/>
      <c r="D746" s="11"/>
      <c r="E746" s="11"/>
      <c r="F746" s="11"/>
    </row>
    <row r="747" spans="1:6" ht="15.75" customHeight="1">
      <c r="A747" s="10"/>
      <c r="B747" s="11"/>
      <c r="C747" s="11"/>
      <c r="D747" s="11"/>
      <c r="E747" s="11"/>
      <c r="F747" s="11"/>
    </row>
    <row r="748" spans="1:6" ht="15.75" customHeight="1">
      <c r="A748" s="10"/>
      <c r="B748" s="11"/>
      <c r="C748" s="11"/>
      <c r="D748" s="11"/>
      <c r="E748" s="11"/>
      <c r="F748" s="11"/>
    </row>
    <row r="749" spans="1:6" ht="15.75" customHeight="1">
      <c r="A749" s="10"/>
      <c r="B749" s="11"/>
      <c r="C749" s="11"/>
      <c r="D749" s="11"/>
      <c r="E749" s="11"/>
      <c r="F749" s="11"/>
    </row>
    <row r="750" spans="1:6" ht="15.75" customHeight="1">
      <c r="A750" s="10"/>
      <c r="B750" s="11"/>
      <c r="C750" s="11"/>
      <c r="D750" s="11"/>
      <c r="E750" s="11"/>
      <c r="F750" s="11"/>
    </row>
    <row r="751" spans="1:6" ht="15.75" customHeight="1">
      <c r="A751" s="10"/>
      <c r="B751" s="11"/>
      <c r="C751" s="11"/>
      <c r="D751" s="11"/>
      <c r="E751" s="11"/>
      <c r="F751" s="11"/>
    </row>
    <row r="752" spans="1:6" ht="15.75" customHeight="1">
      <c r="A752" s="10"/>
      <c r="B752" s="11"/>
      <c r="C752" s="11"/>
      <c r="D752" s="11"/>
      <c r="E752" s="11"/>
      <c r="F752" s="11"/>
    </row>
    <row r="753" spans="1:6" ht="15.75" customHeight="1">
      <c r="A753" s="10"/>
      <c r="B753" s="11"/>
      <c r="C753" s="11"/>
      <c r="D753" s="11"/>
      <c r="E753" s="11"/>
      <c r="F753" s="11"/>
    </row>
    <row r="754" spans="1:6" ht="15.75" customHeight="1">
      <c r="A754" s="10"/>
      <c r="B754" s="11"/>
      <c r="C754" s="11"/>
      <c r="D754" s="11"/>
      <c r="E754" s="11"/>
      <c r="F754" s="11"/>
    </row>
    <row r="755" spans="1:6" ht="15.75" customHeight="1">
      <c r="A755" s="10"/>
      <c r="B755" s="11"/>
      <c r="C755" s="11"/>
      <c r="D755" s="11"/>
      <c r="E755" s="11"/>
      <c r="F755" s="11"/>
    </row>
    <row r="756" spans="1:6" ht="15.75" customHeight="1">
      <c r="A756" s="10"/>
      <c r="B756" s="11"/>
      <c r="C756" s="11"/>
      <c r="D756" s="11"/>
      <c r="E756" s="11"/>
      <c r="F756" s="11"/>
    </row>
    <row r="757" spans="1:6" ht="15.75" customHeight="1">
      <c r="A757" s="10"/>
      <c r="B757" s="11"/>
      <c r="C757" s="11"/>
      <c r="D757" s="11"/>
      <c r="E757" s="11"/>
      <c r="F757" s="11"/>
    </row>
    <row r="758" spans="1:6" ht="15.75" customHeight="1">
      <c r="A758" s="10"/>
      <c r="B758" s="11"/>
      <c r="C758" s="11"/>
      <c r="D758" s="11"/>
      <c r="E758" s="11"/>
      <c r="F758" s="11"/>
    </row>
    <row r="759" spans="1:6" ht="15.75" customHeight="1">
      <c r="A759" s="10"/>
      <c r="B759" s="11"/>
      <c r="C759" s="11"/>
      <c r="D759" s="11"/>
      <c r="E759" s="11"/>
      <c r="F759" s="11"/>
    </row>
    <row r="760" spans="1:6" ht="15.75" customHeight="1">
      <c r="A760" s="10"/>
      <c r="B760" s="11"/>
      <c r="C760" s="11"/>
      <c r="D760" s="11"/>
      <c r="E760" s="11"/>
      <c r="F760" s="11"/>
    </row>
    <row r="761" spans="1:6" ht="15.75" customHeight="1">
      <c r="A761" s="10"/>
      <c r="B761" s="11"/>
      <c r="C761" s="11"/>
      <c r="D761" s="11"/>
      <c r="E761" s="11"/>
      <c r="F761" s="11"/>
    </row>
    <row r="762" spans="1:6" ht="15.75" customHeight="1">
      <c r="A762" s="10"/>
      <c r="B762" s="11"/>
      <c r="C762" s="11"/>
      <c r="D762" s="11"/>
      <c r="E762" s="11"/>
      <c r="F762" s="11"/>
    </row>
    <row r="763" spans="1:6" ht="15.75" customHeight="1">
      <c r="A763" s="10"/>
      <c r="B763" s="11"/>
      <c r="C763" s="11"/>
      <c r="D763" s="11"/>
      <c r="E763" s="11"/>
      <c r="F763" s="11"/>
    </row>
    <row r="764" spans="1:6" ht="15.75" customHeight="1">
      <c r="A764" s="10"/>
      <c r="B764" s="11"/>
      <c r="C764" s="11"/>
      <c r="D764" s="11"/>
      <c r="E764" s="11"/>
      <c r="F764" s="11"/>
    </row>
    <row r="765" spans="1:6" ht="15.75" customHeight="1">
      <c r="A765" s="10"/>
      <c r="B765" s="11"/>
      <c r="C765" s="11"/>
      <c r="D765" s="11"/>
      <c r="E765" s="11"/>
      <c r="F765" s="11"/>
    </row>
    <row r="766" spans="1:6" ht="15.75" customHeight="1">
      <c r="A766" s="10"/>
      <c r="B766" s="11"/>
      <c r="C766" s="11"/>
      <c r="D766" s="11"/>
      <c r="E766" s="11"/>
      <c r="F766" s="11"/>
    </row>
    <row r="767" spans="1:6" ht="15.75" customHeight="1">
      <c r="A767" s="10"/>
      <c r="B767" s="11"/>
      <c r="C767" s="11"/>
      <c r="D767" s="11"/>
      <c r="E767" s="11"/>
      <c r="F767" s="11"/>
    </row>
    <row r="768" spans="1:6" ht="15.75" customHeight="1">
      <c r="A768" s="10"/>
      <c r="B768" s="11"/>
      <c r="C768" s="11"/>
      <c r="D768" s="11"/>
      <c r="E768" s="11"/>
      <c r="F768" s="11"/>
    </row>
    <row r="769" spans="1:6" ht="15.75" customHeight="1">
      <c r="A769" s="10"/>
      <c r="B769" s="11"/>
      <c r="C769" s="11"/>
      <c r="D769" s="11"/>
      <c r="E769" s="11"/>
      <c r="F769" s="11"/>
    </row>
    <row r="770" spans="1:6" ht="15.75" customHeight="1">
      <c r="A770" s="10"/>
      <c r="B770" s="11"/>
      <c r="C770" s="11"/>
      <c r="D770" s="11"/>
      <c r="E770" s="11"/>
      <c r="F770" s="11"/>
    </row>
    <row r="771" spans="1:6" ht="15.75" customHeight="1">
      <c r="A771" s="10"/>
      <c r="B771" s="11"/>
      <c r="C771" s="11"/>
      <c r="D771" s="11"/>
      <c r="E771" s="11"/>
      <c r="F771" s="11"/>
    </row>
    <row r="772" spans="1:6" ht="15.75" customHeight="1">
      <c r="A772" s="10"/>
      <c r="B772" s="11"/>
      <c r="C772" s="11"/>
      <c r="D772" s="11"/>
      <c r="E772" s="11"/>
      <c r="F772" s="11"/>
    </row>
    <row r="773" spans="1:6" ht="15.75" customHeight="1">
      <c r="A773" s="10"/>
      <c r="B773" s="11"/>
      <c r="C773" s="11"/>
      <c r="D773" s="11"/>
      <c r="E773" s="11"/>
      <c r="F773" s="11"/>
    </row>
    <row r="774" spans="1:6" ht="15.75" customHeight="1">
      <c r="A774" s="10"/>
      <c r="B774" s="11"/>
      <c r="C774" s="11"/>
      <c r="D774" s="11"/>
      <c r="E774" s="11"/>
      <c r="F774" s="11"/>
    </row>
    <row r="775" spans="1:6" ht="15.75" customHeight="1">
      <c r="A775" s="10"/>
      <c r="B775" s="11"/>
      <c r="C775" s="11"/>
      <c r="D775" s="11"/>
      <c r="E775" s="11"/>
      <c r="F775" s="11"/>
    </row>
    <row r="776" spans="1:6" ht="15.75" customHeight="1">
      <c r="A776" s="10"/>
      <c r="B776" s="11"/>
      <c r="C776" s="11"/>
      <c r="D776" s="11"/>
      <c r="E776" s="11"/>
      <c r="F776" s="11"/>
    </row>
    <row r="777" spans="1:6" ht="15.75" customHeight="1">
      <c r="A777" s="10"/>
      <c r="B777" s="11"/>
      <c r="C777" s="11"/>
      <c r="D777" s="11"/>
      <c r="E777" s="11"/>
      <c r="F777" s="11"/>
    </row>
    <row r="778" spans="1:6" ht="15.75" customHeight="1">
      <c r="A778" s="10"/>
      <c r="B778" s="11"/>
      <c r="C778" s="11"/>
      <c r="D778" s="11"/>
      <c r="E778" s="11"/>
      <c r="F778" s="11"/>
    </row>
    <row r="779" spans="1:6" ht="15.75" customHeight="1">
      <c r="A779" s="10"/>
      <c r="B779" s="11"/>
      <c r="C779" s="11"/>
      <c r="D779" s="11"/>
      <c r="E779" s="11"/>
      <c r="F779" s="11"/>
    </row>
    <row r="780" spans="1:6" ht="15.75" customHeight="1">
      <c r="A780" s="10"/>
      <c r="B780" s="11"/>
      <c r="C780" s="11"/>
      <c r="D780" s="11"/>
      <c r="E780" s="11"/>
      <c r="F780" s="11"/>
    </row>
    <row r="781" spans="1:6" ht="15.75" customHeight="1">
      <c r="A781" s="10"/>
      <c r="B781" s="11"/>
      <c r="C781" s="11"/>
      <c r="D781" s="11"/>
      <c r="E781" s="11"/>
      <c r="F781" s="11"/>
    </row>
    <row r="782" spans="1:6" ht="15.75" customHeight="1">
      <c r="A782" s="10"/>
      <c r="B782" s="11"/>
      <c r="C782" s="11"/>
      <c r="D782" s="11"/>
      <c r="E782" s="11"/>
      <c r="F782" s="11"/>
    </row>
    <row r="783" spans="1:6" ht="15.75" customHeight="1">
      <c r="A783" s="10"/>
      <c r="B783" s="11"/>
      <c r="C783" s="11"/>
      <c r="D783" s="11"/>
      <c r="E783" s="11"/>
      <c r="F783" s="11"/>
    </row>
    <row r="784" spans="1:6" ht="15.75" customHeight="1">
      <c r="A784" s="10"/>
      <c r="B784" s="11"/>
      <c r="C784" s="11"/>
      <c r="D784" s="11"/>
      <c r="E784" s="11"/>
      <c r="F784" s="11"/>
    </row>
    <row r="785" spans="1:6" ht="15.75" customHeight="1">
      <c r="A785" s="10"/>
      <c r="B785" s="11"/>
      <c r="C785" s="11"/>
      <c r="D785" s="11"/>
      <c r="E785" s="11"/>
      <c r="F785" s="11"/>
    </row>
    <row r="786" spans="1:6" ht="15.75" customHeight="1">
      <c r="A786" s="10"/>
      <c r="B786" s="11"/>
      <c r="C786" s="11"/>
      <c r="D786" s="11"/>
      <c r="E786" s="11"/>
      <c r="F786" s="11"/>
    </row>
    <row r="787" spans="1:6" ht="15.75" customHeight="1">
      <c r="A787" s="10"/>
      <c r="B787" s="11"/>
      <c r="C787" s="11"/>
      <c r="D787" s="11"/>
      <c r="E787" s="11"/>
      <c r="F787" s="11"/>
    </row>
    <row r="788" spans="1:6" ht="15.75" customHeight="1">
      <c r="A788" s="10"/>
      <c r="B788" s="11"/>
      <c r="C788" s="11"/>
      <c r="D788" s="11"/>
      <c r="E788" s="11"/>
      <c r="F788" s="11"/>
    </row>
    <row r="789" spans="1:6" ht="15.75" customHeight="1">
      <c r="A789" s="10"/>
      <c r="B789" s="11"/>
      <c r="C789" s="11"/>
      <c r="D789" s="11"/>
      <c r="E789" s="11"/>
      <c r="F789" s="11"/>
    </row>
    <row r="790" spans="1:6" ht="15.75" customHeight="1">
      <c r="A790" s="10"/>
      <c r="B790" s="11"/>
      <c r="C790" s="11"/>
      <c r="D790" s="11"/>
      <c r="E790" s="11"/>
      <c r="F790" s="11"/>
    </row>
    <row r="791" spans="1:6" ht="15.75" customHeight="1">
      <c r="A791" s="10"/>
      <c r="B791" s="11"/>
      <c r="C791" s="11"/>
      <c r="D791" s="11"/>
      <c r="E791" s="11"/>
      <c r="F791" s="11"/>
    </row>
    <row r="792" spans="1:6" ht="15.75" customHeight="1">
      <c r="A792" s="10"/>
      <c r="B792" s="11"/>
      <c r="C792" s="11"/>
      <c r="D792" s="11"/>
      <c r="E792" s="11"/>
      <c r="F792" s="11"/>
    </row>
    <row r="793" spans="1:6" ht="15.75" customHeight="1">
      <c r="A793" s="10"/>
      <c r="B793" s="11"/>
      <c r="C793" s="11"/>
      <c r="D793" s="11"/>
      <c r="E793" s="11"/>
      <c r="F793" s="11"/>
    </row>
    <row r="794" spans="1:6" ht="15.75" customHeight="1">
      <c r="A794" s="10"/>
      <c r="B794" s="11"/>
      <c r="C794" s="11"/>
      <c r="D794" s="11"/>
      <c r="E794" s="11"/>
      <c r="F794" s="11"/>
    </row>
    <row r="795" spans="1:6" ht="15.75" customHeight="1">
      <c r="A795" s="10"/>
      <c r="B795" s="11"/>
      <c r="C795" s="11"/>
      <c r="D795" s="11"/>
      <c r="E795" s="11"/>
      <c r="F795" s="11"/>
    </row>
    <row r="796" spans="1:6" ht="15.75" customHeight="1">
      <c r="A796" s="10"/>
      <c r="B796" s="11"/>
      <c r="C796" s="11"/>
      <c r="D796" s="11"/>
      <c r="E796" s="11"/>
      <c r="F796" s="11"/>
    </row>
    <row r="797" spans="1:6" ht="15.75" customHeight="1">
      <c r="A797" s="10"/>
      <c r="B797" s="11"/>
      <c r="C797" s="11"/>
      <c r="D797" s="11"/>
      <c r="E797" s="11"/>
      <c r="F797" s="11"/>
    </row>
    <row r="798" spans="1:6" ht="15.75" customHeight="1">
      <c r="A798" s="10"/>
      <c r="B798" s="11"/>
      <c r="C798" s="11"/>
      <c r="D798" s="11"/>
      <c r="E798" s="11"/>
      <c r="F798" s="11"/>
    </row>
    <row r="799" spans="1:6" ht="15.75" customHeight="1">
      <c r="A799" s="10"/>
      <c r="B799" s="11"/>
      <c r="C799" s="11"/>
      <c r="D799" s="11"/>
      <c r="E799" s="11"/>
      <c r="F799" s="11"/>
    </row>
    <row r="800" spans="1:6" ht="15.75" customHeight="1">
      <c r="A800" s="10"/>
      <c r="B800" s="11"/>
      <c r="C800" s="11"/>
      <c r="D800" s="11"/>
      <c r="E800" s="11"/>
      <c r="F800" s="11"/>
    </row>
    <row r="801" spans="1:6" ht="15.75" customHeight="1">
      <c r="A801" s="10"/>
      <c r="B801" s="11"/>
      <c r="C801" s="11"/>
      <c r="D801" s="11"/>
      <c r="E801" s="11"/>
      <c r="F801" s="11"/>
    </row>
    <row r="802" spans="1:6" ht="15.75" customHeight="1">
      <c r="A802" s="10"/>
      <c r="B802" s="11"/>
      <c r="C802" s="11"/>
      <c r="D802" s="11"/>
      <c r="E802" s="11"/>
      <c r="F802" s="11"/>
    </row>
    <row r="803" spans="1:6" ht="15.75" customHeight="1">
      <c r="A803" s="10"/>
      <c r="B803" s="11"/>
      <c r="C803" s="11"/>
      <c r="D803" s="11"/>
      <c r="E803" s="11"/>
      <c r="F803" s="11"/>
    </row>
    <row r="804" spans="1:6" ht="15.75" customHeight="1">
      <c r="A804" s="10"/>
      <c r="B804" s="11"/>
      <c r="C804" s="11"/>
      <c r="D804" s="11"/>
      <c r="E804" s="11"/>
      <c r="F804" s="11"/>
    </row>
    <row r="805" spans="1:6" ht="15.75" customHeight="1">
      <c r="A805" s="10"/>
      <c r="B805" s="11"/>
      <c r="C805" s="11"/>
      <c r="D805" s="11"/>
      <c r="E805" s="11"/>
      <c r="F805" s="11"/>
    </row>
    <row r="806" spans="1:6" ht="15.75" customHeight="1">
      <c r="A806" s="10"/>
      <c r="B806" s="11"/>
      <c r="C806" s="11"/>
      <c r="D806" s="11"/>
      <c r="E806" s="11"/>
      <c r="F806" s="11"/>
    </row>
    <row r="807" spans="1:6" ht="15.75" customHeight="1">
      <c r="A807" s="10"/>
      <c r="B807" s="11"/>
      <c r="C807" s="11"/>
      <c r="D807" s="11"/>
      <c r="E807" s="11"/>
      <c r="F807" s="11"/>
    </row>
    <row r="808" spans="1:6" ht="15.75" customHeight="1">
      <c r="A808" s="10"/>
      <c r="B808" s="11"/>
      <c r="C808" s="11"/>
      <c r="D808" s="11"/>
      <c r="E808" s="11"/>
      <c r="F808" s="11"/>
    </row>
    <row r="809" spans="1:6" ht="15.75" customHeight="1">
      <c r="A809" s="10"/>
      <c r="B809" s="11"/>
      <c r="C809" s="11"/>
      <c r="D809" s="11"/>
      <c r="E809" s="11"/>
      <c r="F809" s="11"/>
    </row>
    <row r="810" spans="1:6" ht="15.75" customHeight="1">
      <c r="A810" s="10"/>
      <c r="B810" s="11"/>
      <c r="C810" s="11"/>
      <c r="D810" s="11"/>
      <c r="E810" s="11"/>
      <c r="F810" s="11"/>
    </row>
    <row r="811" spans="1:6" ht="15.75" customHeight="1">
      <c r="A811" s="10"/>
      <c r="B811" s="11"/>
      <c r="C811" s="11"/>
      <c r="D811" s="11"/>
      <c r="E811" s="11"/>
      <c r="F811" s="11"/>
    </row>
    <row r="812" spans="1:6" ht="15.75" customHeight="1">
      <c r="A812" s="10"/>
      <c r="B812" s="11"/>
      <c r="C812" s="11"/>
      <c r="D812" s="11"/>
      <c r="E812" s="11"/>
      <c r="F812" s="11"/>
    </row>
    <row r="813" spans="1:6" ht="15.75" customHeight="1">
      <c r="A813" s="10"/>
      <c r="B813" s="11"/>
      <c r="C813" s="11"/>
      <c r="D813" s="11"/>
      <c r="E813" s="11"/>
      <c r="F813" s="11"/>
    </row>
    <row r="814" spans="1:6" ht="15.75" customHeight="1">
      <c r="A814" s="10"/>
      <c r="B814" s="11"/>
      <c r="C814" s="11"/>
      <c r="D814" s="11"/>
      <c r="E814" s="11"/>
      <c r="F814" s="11"/>
    </row>
    <row r="815" spans="1:6" ht="15.75" customHeight="1">
      <c r="A815" s="10"/>
      <c r="B815" s="11"/>
      <c r="C815" s="11"/>
      <c r="D815" s="11"/>
      <c r="E815" s="11"/>
      <c r="F815" s="11"/>
    </row>
    <row r="816" spans="1:6" ht="15.75" customHeight="1">
      <c r="A816" s="10"/>
      <c r="B816" s="11"/>
      <c r="C816" s="11"/>
      <c r="D816" s="11"/>
      <c r="E816" s="11"/>
      <c r="F816" s="11"/>
    </row>
    <row r="817" spans="1:6" ht="15.75" customHeight="1">
      <c r="A817" s="10"/>
      <c r="B817" s="11"/>
      <c r="C817" s="11"/>
      <c r="D817" s="11"/>
      <c r="E817" s="11"/>
      <c r="F817" s="11"/>
    </row>
    <row r="818" spans="1:6" ht="15.75" customHeight="1">
      <c r="A818" s="10"/>
      <c r="B818" s="11"/>
      <c r="C818" s="11"/>
      <c r="D818" s="11"/>
      <c r="E818" s="11"/>
      <c r="F818" s="11"/>
    </row>
    <row r="819" spans="1:6" ht="15.75" customHeight="1">
      <c r="A819" s="10"/>
      <c r="B819" s="11"/>
      <c r="C819" s="11"/>
      <c r="D819" s="11"/>
      <c r="E819" s="11"/>
      <c r="F819" s="11"/>
    </row>
    <row r="820" spans="1:6" ht="15.75" customHeight="1">
      <c r="A820" s="10"/>
      <c r="B820" s="11"/>
      <c r="C820" s="11"/>
      <c r="D820" s="11"/>
      <c r="E820" s="11"/>
      <c r="F820" s="11"/>
    </row>
    <row r="821" spans="1:6" ht="15.75" customHeight="1">
      <c r="A821" s="10"/>
      <c r="B821" s="11"/>
      <c r="C821" s="11"/>
      <c r="D821" s="11"/>
      <c r="E821" s="11"/>
      <c r="F821" s="11"/>
    </row>
    <row r="822" spans="1:6" ht="15.75" customHeight="1">
      <c r="A822" s="10"/>
      <c r="B822" s="11"/>
      <c r="C822" s="11"/>
      <c r="D822" s="11"/>
      <c r="E822" s="11"/>
      <c r="F822" s="11"/>
    </row>
    <row r="823" spans="1:6" ht="15.75" customHeight="1">
      <c r="A823" s="10"/>
      <c r="B823" s="11"/>
      <c r="C823" s="11"/>
      <c r="D823" s="11"/>
      <c r="E823" s="11"/>
      <c r="F823" s="11"/>
    </row>
    <row r="824" spans="1:6" ht="15.75" customHeight="1">
      <c r="A824" s="10"/>
      <c r="B824" s="11"/>
      <c r="C824" s="11"/>
      <c r="D824" s="11"/>
      <c r="E824" s="11"/>
      <c r="F824" s="11"/>
    </row>
    <row r="825" spans="1:6" ht="15.75" customHeight="1">
      <c r="A825" s="10"/>
      <c r="B825" s="11"/>
      <c r="C825" s="11"/>
      <c r="D825" s="11"/>
      <c r="E825" s="11"/>
      <c r="F825" s="11"/>
    </row>
    <row r="826" spans="1:6" ht="15.75" customHeight="1">
      <c r="A826" s="10"/>
      <c r="B826" s="11"/>
      <c r="C826" s="11"/>
      <c r="D826" s="11"/>
      <c r="E826" s="11"/>
      <c r="F826" s="11"/>
    </row>
    <row r="827" spans="1:6" ht="15.75" customHeight="1">
      <c r="A827" s="10"/>
      <c r="B827" s="11"/>
      <c r="C827" s="11"/>
      <c r="D827" s="11"/>
      <c r="E827" s="11"/>
      <c r="F827" s="11"/>
    </row>
    <row r="828" spans="1:6" ht="15.75" customHeight="1">
      <c r="A828" s="10"/>
      <c r="B828" s="11"/>
      <c r="C828" s="11"/>
      <c r="D828" s="11"/>
      <c r="E828" s="11"/>
      <c r="F828" s="11"/>
    </row>
    <row r="829" spans="1:6" ht="15.75" customHeight="1">
      <c r="A829" s="10"/>
      <c r="B829" s="11"/>
      <c r="C829" s="11"/>
      <c r="D829" s="11"/>
      <c r="E829" s="11"/>
      <c r="F829" s="11"/>
    </row>
    <row r="830" spans="1:6" ht="15.75" customHeight="1">
      <c r="A830" s="10"/>
      <c r="B830" s="11"/>
      <c r="C830" s="11"/>
      <c r="D830" s="11"/>
      <c r="E830" s="11"/>
      <c r="F830" s="11"/>
    </row>
    <row r="831" spans="1:6" ht="15.75" customHeight="1">
      <c r="A831" s="10"/>
      <c r="B831" s="11"/>
      <c r="C831" s="11"/>
      <c r="D831" s="11"/>
      <c r="E831" s="11"/>
      <c r="F831" s="11"/>
    </row>
    <row r="832" spans="1:6" ht="15.75" customHeight="1">
      <c r="A832" s="10"/>
      <c r="B832" s="11"/>
      <c r="C832" s="11"/>
      <c r="D832" s="11"/>
      <c r="E832" s="11"/>
      <c r="F832" s="11"/>
    </row>
    <row r="833" spans="1:6" ht="15.75" customHeight="1">
      <c r="A833" s="10"/>
      <c r="B833" s="11"/>
      <c r="C833" s="11"/>
      <c r="D833" s="11"/>
      <c r="E833" s="11"/>
      <c r="F833" s="11"/>
    </row>
    <row r="834" spans="1:6" ht="15.75" customHeight="1">
      <c r="A834" s="10"/>
      <c r="B834" s="11"/>
      <c r="C834" s="11"/>
      <c r="D834" s="11"/>
      <c r="E834" s="11"/>
      <c r="F834" s="11"/>
    </row>
    <row r="835" spans="1:6" ht="15.75" customHeight="1">
      <c r="A835" s="10"/>
      <c r="B835" s="11"/>
      <c r="C835" s="11"/>
      <c r="D835" s="11"/>
      <c r="E835" s="11"/>
      <c r="F835" s="11"/>
    </row>
    <row r="836" spans="1:6" ht="15.75" customHeight="1">
      <c r="A836" s="10"/>
      <c r="B836" s="11"/>
      <c r="C836" s="11"/>
      <c r="D836" s="11"/>
      <c r="E836" s="11"/>
      <c r="F836" s="11"/>
    </row>
    <row r="837" spans="1:6" ht="15.75" customHeight="1">
      <c r="A837" s="10"/>
      <c r="B837" s="11"/>
      <c r="C837" s="11"/>
      <c r="D837" s="11"/>
      <c r="E837" s="11"/>
      <c r="F837" s="11"/>
    </row>
    <row r="838" spans="1:6" ht="15.75" customHeight="1">
      <c r="A838" s="10"/>
      <c r="B838" s="11"/>
      <c r="C838" s="11"/>
      <c r="D838" s="11"/>
      <c r="E838" s="11"/>
      <c r="F838" s="11"/>
    </row>
    <row r="839" spans="1:6" ht="15.75" customHeight="1">
      <c r="A839" s="10"/>
      <c r="B839" s="11"/>
      <c r="C839" s="11"/>
      <c r="D839" s="11"/>
      <c r="E839" s="11"/>
      <c r="F839" s="11"/>
    </row>
    <row r="840" spans="1:6" ht="15.75" customHeight="1">
      <c r="A840" s="10"/>
      <c r="B840" s="11"/>
      <c r="C840" s="11"/>
      <c r="D840" s="11"/>
      <c r="E840" s="11"/>
      <c r="F840" s="11"/>
    </row>
    <row r="841" spans="1:6" ht="15.75" customHeight="1">
      <c r="A841" s="10"/>
      <c r="B841" s="11"/>
      <c r="C841" s="11"/>
      <c r="D841" s="11"/>
      <c r="E841" s="11"/>
      <c r="F841" s="11"/>
    </row>
    <row r="842" spans="1:6" ht="15.75" customHeight="1">
      <c r="A842" s="10"/>
      <c r="B842" s="11"/>
      <c r="C842" s="11"/>
      <c r="D842" s="11"/>
      <c r="E842" s="11"/>
      <c r="F842" s="11"/>
    </row>
    <row r="843" spans="1:6" ht="15.75" customHeight="1">
      <c r="A843" s="10"/>
      <c r="B843" s="11"/>
      <c r="C843" s="11"/>
      <c r="D843" s="11"/>
      <c r="E843" s="11"/>
      <c r="F843" s="11"/>
    </row>
    <row r="844" spans="1:6" ht="15.75" customHeight="1">
      <c r="A844" s="10"/>
      <c r="B844" s="11"/>
      <c r="C844" s="11"/>
      <c r="D844" s="11"/>
      <c r="E844" s="11"/>
      <c r="F844" s="11"/>
    </row>
    <row r="845" spans="1:6" ht="15.75" customHeight="1">
      <c r="A845" s="10"/>
      <c r="B845" s="11"/>
      <c r="C845" s="11"/>
      <c r="D845" s="11"/>
      <c r="E845" s="11"/>
      <c r="F845" s="11"/>
    </row>
    <row r="846" spans="1:6" ht="15.75" customHeight="1">
      <c r="A846" s="10"/>
      <c r="B846" s="11"/>
      <c r="C846" s="11"/>
      <c r="D846" s="11"/>
      <c r="E846" s="11"/>
      <c r="F846" s="11"/>
    </row>
    <row r="847" spans="1:6" ht="15.75" customHeight="1">
      <c r="A847" s="10"/>
      <c r="B847" s="11"/>
      <c r="C847" s="11"/>
      <c r="D847" s="11"/>
      <c r="E847" s="11"/>
      <c r="F847" s="11"/>
    </row>
    <row r="848" spans="1:6" ht="15.75" customHeight="1">
      <c r="A848" s="10"/>
      <c r="B848" s="11"/>
      <c r="C848" s="11"/>
      <c r="D848" s="11"/>
      <c r="E848" s="11"/>
      <c r="F848" s="11"/>
    </row>
    <row r="849" spans="1:6" ht="15.75" customHeight="1">
      <c r="A849" s="10"/>
      <c r="B849" s="11"/>
      <c r="C849" s="11"/>
      <c r="D849" s="11"/>
      <c r="E849" s="11"/>
      <c r="F849" s="11"/>
    </row>
    <row r="850" spans="1:6" ht="15.75" customHeight="1">
      <c r="A850" s="10"/>
      <c r="B850" s="11"/>
      <c r="C850" s="11"/>
      <c r="D850" s="11"/>
      <c r="E850" s="11"/>
      <c r="F850" s="11"/>
    </row>
    <row r="851" spans="1:6" ht="15.75" customHeight="1">
      <c r="A851" s="10"/>
      <c r="B851" s="11"/>
      <c r="C851" s="11"/>
      <c r="D851" s="11"/>
      <c r="E851" s="11"/>
      <c r="F851" s="11"/>
    </row>
    <row r="852" spans="1:6" ht="15.75" customHeight="1">
      <c r="A852" s="10"/>
      <c r="B852" s="11"/>
      <c r="C852" s="11"/>
      <c r="D852" s="11"/>
      <c r="E852" s="11"/>
      <c r="F852" s="11"/>
    </row>
    <row r="853" spans="1:6" ht="15.75" customHeight="1">
      <c r="A853" s="10"/>
      <c r="B853" s="11"/>
      <c r="C853" s="11"/>
      <c r="D853" s="11"/>
      <c r="E853" s="11"/>
      <c r="F853" s="11"/>
    </row>
    <row r="854" spans="1:6" ht="15.75" customHeight="1">
      <c r="A854" s="10"/>
      <c r="B854" s="11"/>
      <c r="C854" s="11"/>
      <c r="D854" s="11"/>
      <c r="E854" s="11"/>
      <c r="F854" s="11"/>
    </row>
    <row r="855" spans="1:6" ht="15.75" customHeight="1">
      <c r="A855" s="10"/>
      <c r="B855" s="11"/>
      <c r="C855" s="11"/>
      <c r="D855" s="11"/>
      <c r="E855" s="11"/>
      <c r="F855" s="11"/>
    </row>
    <row r="856" spans="1:6" ht="15.75" customHeight="1">
      <c r="A856" s="10"/>
      <c r="B856" s="11"/>
      <c r="C856" s="11"/>
      <c r="D856" s="11"/>
      <c r="E856" s="11"/>
      <c r="F856" s="11"/>
    </row>
    <row r="857" spans="1:6" ht="15.75" customHeight="1">
      <c r="A857" s="10"/>
      <c r="B857" s="11"/>
      <c r="C857" s="11"/>
      <c r="D857" s="11"/>
      <c r="E857" s="11"/>
      <c r="F857" s="11"/>
    </row>
    <row r="858" spans="1:6" ht="15.75" customHeight="1">
      <c r="A858" s="10"/>
      <c r="B858" s="11"/>
      <c r="C858" s="11"/>
      <c r="D858" s="11"/>
      <c r="E858" s="11"/>
      <c r="F858" s="11"/>
    </row>
    <row r="859" spans="1:6" ht="15.75" customHeight="1">
      <c r="A859" s="10"/>
      <c r="B859" s="11"/>
      <c r="C859" s="11"/>
      <c r="D859" s="11"/>
      <c r="E859" s="11"/>
      <c r="F859" s="11"/>
    </row>
    <row r="860" spans="1:6" ht="15.75" customHeight="1">
      <c r="A860" s="10"/>
      <c r="B860" s="11"/>
      <c r="C860" s="11"/>
      <c r="D860" s="11"/>
      <c r="E860" s="11"/>
      <c r="F860" s="11"/>
    </row>
    <row r="861" spans="1:6" ht="15.75" customHeight="1">
      <c r="A861" s="10"/>
      <c r="B861" s="11"/>
      <c r="C861" s="11"/>
      <c r="D861" s="11"/>
      <c r="E861" s="11"/>
      <c r="F861" s="11"/>
    </row>
    <row r="862" spans="1:6" ht="15.75" customHeight="1">
      <c r="A862" s="10"/>
      <c r="B862" s="11"/>
      <c r="C862" s="11"/>
      <c r="D862" s="11"/>
      <c r="E862" s="11"/>
      <c r="F862" s="11"/>
    </row>
    <row r="863" spans="1:6" ht="15.75" customHeight="1">
      <c r="A863" s="10"/>
      <c r="B863" s="11"/>
      <c r="C863" s="11"/>
      <c r="D863" s="11"/>
      <c r="E863" s="11"/>
      <c r="F863" s="11"/>
    </row>
    <row r="864" spans="1:6" ht="15.75" customHeight="1">
      <c r="A864" s="10"/>
      <c r="B864" s="11"/>
      <c r="C864" s="11"/>
      <c r="D864" s="11"/>
      <c r="E864" s="11"/>
      <c r="F864" s="11"/>
    </row>
    <row r="865" spans="1:6" ht="15.75" customHeight="1">
      <c r="A865" s="10"/>
      <c r="B865" s="11"/>
      <c r="C865" s="11"/>
      <c r="D865" s="11"/>
      <c r="E865" s="11"/>
      <c r="F865" s="11"/>
    </row>
    <row r="866" spans="1:6" ht="15.75" customHeight="1">
      <c r="A866" s="10"/>
      <c r="B866" s="11"/>
      <c r="C866" s="11"/>
      <c r="D866" s="11"/>
      <c r="E866" s="11"/>
      <c r="F866" s="11"/>
    </row>
    <row r="867" spans="1:6" ht="15.75" customHeight="1">
      <c r="A867" s="10"/>
      <c r="B867" s="11"/>
      <c r="C867" s="11"/>
      <c r="D867" s="11"/>
      <c r="E867" s="11"/>
      <c r="F867" s="11"/>
    </row>
    <row r="868" spans="1:6" ht="15.75" customHeight="1">
      <c r="A868" s="10"/>
      <c r="B868" s="11"/>
      <c r="C868" s="11"/>
      <c r="D868" s="11"/>
      <c r="E868" s="11"/>
      <c r="F868" s="11"/>
    </row>
    <row r="869" spans="1:6" ht="15.75" customHeight="1">
      <c r="A869" s="10"/>
      <c r="B869" s="11"/>
      <c r="C869" s="11"/>
      <c r="D869" s="11"/>
      <c r="E869" s="11"/>
      <c r="F869" s="11"/>
    </row>
    <row r="870" spans="1:6" ht="15.75" customHeight="1">
      <c r="A870" s="10"/>
      <c r="B870" s="11"/>
      <c r="C870" s="11"/>
      <c r="D870" s="11"/>
      <c r="E870" s="11"/>
      <c r="F870" s="11"/>
    </row>
    <row r="871" spans="1:6" ht="15.75" customHeight="1">
      <c r="A871" s="10"/>
      <c r="B871" s="11"/>
      <c r="C871" s="11"/>
      <c r="D871" s="11"/>
      <c r="E871" s="11"/>
      <c r="F871" s="11"/>
    </row>
    <row r="872" spans="1:6" ht="15.75" customHeight="1">
      <c r="A872" s="10"/>
      <c r="B872" s="11"/>
      <c r="C872" s="11"/>
      <c r="D872" s="11"/>
      <c r="E872" s="11"/>
      <c r="F872" s="11"/>
    </row>
    <row r="873" spans="1:6" ht="15.75" customHeight="1">
      <c r="A873" s="10"/>
      <c r="B873" s="11"/>
      <c r="C873" s="11"/>
      <c r="D873" s="11"/>
      <c r="E873" s="11"/>
      <c r="F873" s="11"/>
    </row>
    <row r="874" spans="1:6" ht="15.75" customHeight="1">
      <c r="A874" s="10"/>
      <c r="B874" s="11"/>
      <c r="C874" s="11"/>
      <c r="D874" s="11"/>
      <c r="E874" s="11"/>
      <c r="F874" s="11"/>
    </row>
    <row r="875" spans="1:6" ht="15.75" customHeight="1">
      <c r="A875" s="10"/>
      <c r="B875" s="11"/>
      <c r="C875" s="11"/>
      <c r="D875" s="11"/>
      <c r="E875" s="11"/>
      <c r="F875" s="11"/>
    </row>
    <row r="876" spans="1:6" ht="15.75" customHeight="1">
      <c r="A876" s="10"/>
      <c r="B876" s="11"/>
      <c r="C876" s="11"/>
      <c r="D876" s="11"/>
      <c r="E876" s="11"/>
      <c r="F876" s="11"/>
    </row>
    <row r="877" spans="1:6" ht="15.75" customHeight="1">
      <c r="A877" s="10"/>
      <c r="B877" s="11"/>
      <c r="C877" s="11"/>
      <c r="D877" s="11"/>
      <c r="E877" s="11"/>
      <c r="F877" s="11"/>
    </row>
    <row r="878" spans="1:6" ht="15.75" customHeight="1">
      <c r="A878" s="10"/>
      <c r="B878" s="11"/>
      <c r="C878" s="11"/>
      <c r="D878" s="11"/>
      <c r="E878" s="11"/>
      <c r="F878" s="11"/>
    </row>
    <row r="879" spans="1:6" ht="15.75" customHeight="1">
      <c r="A879" s="10"/>
      <c r="B879" s="11"/>
      <c r="C879" s="11"/>
      <c r="D879" s="11"/>
      <c r="E879" s="11"/>
      <c r="F879" s="11"/>
    </row>
    <row r="880" spans="1:6" ht="15.75" customHeight="1">
      <c r="A880" s="10"/>
      <c r="B880" s="11"/>
      <c r="C880" s="11"/>
      <c r="D880" s="11"/>
      <c r="E880" s="11"/>
      <c r="F880" s="11"/>
    </row>
    <row r="881" spans="1:6" ht="15.75" customHeight="1">
      <c r="A881" s="10"/>
      <c r="B881" s="11"/>
      <c r="C881" s="11"/>
      <c r="D881" s="11"/>
      <c r="E881" s="11"/>
      <c r="F881" s="11"/>
    </row>
    <row r="882" spans="1:6" ht="15.75" customHeight="1">
      <c r="A882" s="10"/>
      <c r="B882" s="11"/>
      <c r="C882" s="11"/>
      <c r="D882" s="11"/>
      <c r="E882" s="11"/>
      <c r="F882" s="11"/>
    </row>
    <row r="883" spans="1:6" ht="15.75" customHeight="1">
      <c r="A883" s="10"/>
      <c r="B883" s="11"/>
      <c r="C883" s="11"/>
      <c r="D883" s="11"/>
      <c r="E883" s="11"/>
      <c r="F883" s="11"/>
    </row>
    <row r="884" spans="1:6" ht="15.75" customHeight="1">
      <c r="A884" s="10"/>
      <c r="B884" s="11"/>
      <c r="C884" s="11"/>
      <c r="D884" s="11"/>
      <c r="E884" s="11"/>
      <c r="F884" s="11"/>
    </row>
    <row r="885" spans="1:6" ht="15.75" customHeight="1">
      <c r="A885" s="10"/>
      <c r="B885" s="11"/>
      <c r="C885" s="11"/>
      <c r="D885" s="11"/>
      <c r="E885" s="11"/>
      <c r="F885" s="11"/>
    </row>
    <row r="886" spans="1:6" ht="15.75" customHeight="1">
      <c r="A886" s="10"/>
      <c r="B886" s="11"/>
      <c r="C886" s="11"/>
      <c r="D886" s="11"/>
      <c r="E886" s="11"/>
      <c r="F886" s="11"/>
    </row>
    <row r="887" spans="1:6" ht="15.75" customHeight="1">
      <c r="A887" s="10"/>
      <c r="B887" s="11"/>
      <c r="C887" s="11"/>
      <c r="D887" s="11"/>
      <c r="E887" s="11"/>
      <c r="F887" s="11"/>
    </row>
    <row r="888" spans="1:6" ht="15.75" customHeight="1">
      <c r="A888" s="10"/>
      <c r="B888" s="11"/>
      <c r="C888" s="11"/>
      <c r="D888" s="11"/>
      <c r="E888" s="11"/>
      <c r="F888" s="11"/>
    </row>
    <row r="889" spans="1:6" ht="15.75" customHeight="1">
      <c r="A889" s="10"/>
      <c r="B889" s="11"/>
      <c r="C889" s="11"/>
      <c r="D889" s="11"/>
      <c r="E889" s="11"/>
      <c r="F889" s="11"/>
    </row>
    <row r="890" spans="1:6" ht="15.75" customHeight="1">
      <c r="A890" s="10"/>
      <c r="B890" s="11"/>
      <c r="C890" s="11"/>
      <c r="D890" s="11"/>
      <c r="E890" s="11"/>
      <c r="F890" s="11"/>
    </row>
    <row r="891" spans="1:6" ht="15.75" customHeight="1">
      <c r="A891" s="10"/>
      <c r="B891" s="11"/>
      <c r="C891" s="11"/>
      <c r="D891" s="11"/>
      <c r="E891" s="11"/>
      <c r="F891" s="11"/>
    </row>
    <row r="892" spans="1:6" ht="15.75" customHeight="1">
      <c r="A892" s="10"/>
      <c r="B892" s="11"/>
      <c r="C892" s="11"/>
      <c r="D892" s="11"/>
      <c r="E892" s="11"/>
      <c r="F892" s="11"/>
    </row>
    <row r="893" spans="1:6" ht="15.75" customHeight="1">
      <c r="A893" s="10"/>
      <c r="B893" s="11"/>
      <c r="C893" s="11"/>
      <c r="D893" s="11"/>
      <c r="E893" s="11"/>
      <c r="F893" s="11"/>
    </row>
    <row r="894" spans="1:6" ht="15.75" customHeight="1">
      <c r="A894" s="10"/>
      <c r="B894" s="11"/>
      <c r="C894" s="11"/>
      <c r="D894" s="11"/>
      <c r="E894" s="11"/>
      <c r="F894" s="11"/>
    </row>
    <row r="895" spans="1:6" ht="15.75" customHeight="1">
      <c r="A895" s="10"/>
      <c r="B895" s="11"/>
      <c r="C895" s="11"/>
      <c r="D895" s="11"/>
      <c r="E895" s="11"/>
      <c r="F895" s="11"/>
    </row>
    <row r="896" spans="1:6" ht="15.75" customHeight="1">
      <c r="A896" s="10"/>
      <c r="B896" s="11"/>
      <c r="C896" s="11"/>
      <c r="D896" s="11"/>
      <c r="E896" s="11"/>
      <c r="F896" s="11"/>
    </row>
    <row r="897" spans="1:6" ht="15.75" customHeight="1">
      <c r="A897" s="10"/>
      <c r="B897" s="11"/>
      <c r="C897" s="11"/>
      <c r="D897" s="11"/>
      <c r="E897" s="11"/>
      <c r="F897" s="11"/>
    </row>
    <row r="898" spans="1:6" ht="15.75" customHeight="1">
      <c r="A898" s="10"/>
      <c r="B898" s="11"/>
      <c r="C898" s="11"/>
      <c r="D898" s="11"/>
      <c r="E898" s="11"/>
      <c r="F898" s="11"/>
    </row>
    <row r="899" spans="1:6" ht="15.75" customHeight="1">
      <c r="A899" s="10"/>
      <c r="B899" s="11"/>
      <c r="C899" s="11"/>
      <c r="D899" s="11"/>
      <c r="E899" s="11"/>
      <c r="F899" s="11"/>
    </row>
    <row r="900" spans="1:6" ht="15.75" customHeight="1">
      <c r="A900" s="10"/>
      <c r="B900" s="11"/>
      <c r="C900" s="11"/>
      <c r="D900" s="11"/>
      <c r="E900" s="11"/>
      <c r="F900" s="11"/>
    </row>
    <row r="901" spans="1:6" ht="15.75" customHeight="1">
      <c r="A901" s="10"/>
      <c r="B901" s="11"/>
      <c r="C901" s="11"/>
      <c r="D901" s="11"/>
      <c r="E901" s="11"/>
      <c r="F901" s="11"/>
    </row>
    <row r="902" spans="1:6" ht="15.75" customHeight="1">
      <c r="A902" s="10"/>
      <c r="B902" s="11"/>
      <c r="C902" s="11"/>
      <c r="D902" s="11"/>
      <c r="E902" s="11"/>
      <c r="F902" s="11"/>
    </row>
    <row r="903" spans="1:6" ht="15.75" customHeight="1">
      <c r="A903" s="10"/>
      <c r="B903" s="11"/>
      <c r="C903" s="11"/>
      <c r="D903" s="11"/>
      <c r="E903" s="11"/>
      <c r="F903" s="11"/>
    </row>
    <row r="904" spans="1:6" ht="15.75" customHeight="1">
      <c r="A904" s="10"/>
      <c r="B904" s="11"/>
      <c r="C904" s="11"/>
      <c r="D904" s="11"/>
      <c r="E904" s="11"/>
      <c r="F904" s="11"/>
    </row>
    <row r="905" spans="1:6" ht="15.75" customHeight="1">
      <c r="A905" s="10"/>
      <c r="B905" s="11"/>
      <c r="C905" s="11"/>
      <c r="D905" s="11"/>
      <c r="E905" s="11"/>
      <c r="F905" s="11"/>
    </row>
    <row r="906" spans="1:6" ht="15.75" customHeight="1">
      <c r="A906" s="10"/>
      <c r="B906" s="11"/>
      <c r="C906" s="11"/>
      <c r="D906" s="11"/>
      <c r="E906" s="11"/>
      <c r="F906" s="11"/>
    </row>
    <row r="907" spans="1:6" ht="15.75" customHeight="1">
      <c r="A907" s="10"/>
      <c r="B907" s="11"/>
      <c r="C907" s="11"/>
      <c r="D907" s="11"/>
      <c r="E907" s="11"/>
      <c r="F907" s="11"/>
    </row>
    <row r="908" spans="1:6" ht="15.75" customHeight="1">
      <c r="A908" s="10"/>
      <c r="B908" s="11"/>
      <c r="C908" s="11"/>
      <c r="D908" s="11"/>
      <c r="E908" s="11"/>
      <c r="F908" s="11"/>
    </row>
    <row r="909" spans="1:6" ht="15.75" customHeight="1">
      <c r="A909" s="10"/>
      <c r="B909" s="11"/>
      <c r="C909" s="11"/>
      <c r="D909" s="11"/>
      <c r="E909" s="11"/>
      <c r="F909" s="11"/>
    </row>
    <row r="910" spans="1:6" ht="15.75" customHeight="1">
      <c r="A910" s="10"/>
      <c r="B910" s="11"/>
      <c r="C910" s="11"/>
      <c r="D910" s="11"/>
      <c r="E910" s="11"/>
      <c r="F910" s="11"/>
    </row>
    <row r="911" spans="1:6" ht="15.75" customHeight="1">
      <c r="A911" s="10"/>
      <c r="B911" s="11"/>
      <c r="C911" s="11"/>
      <c r="D911" s="11"/>
      <c r="E911" s="11"/>
      <c r="F911" s="11"/>
    </row>
    <row r="912" spans="1:6" ht="15.75" customHeight="1">
      <c r="A912" s="10"/>
      <c r="B912" s="11"/>
      <c r="C912" s="11"/>
      <c r="D912" s="11"/>
      <c r="E912" s="11"/>
      <c r="F912" s="11"/>
    </row>
    <row r="913" spans="1:6" ht="15.75" customHeight="1">
      <c r="A913" s="10"/>
      <c r="B913" s="11"/>
      <c r="C913" s="11"/>
      <c r="D913" s="11"/>
      <c r="E913" s="11"/>
      <c r="F913" s="11"/>
    </row>
    <row r="914" spans="1:6" ht="15.75" customHeight="1">
      <c r="A914" s="10"/>
      <c r="B914" s="11"/>
      <c r="C914" s="11"/>
      <c r="D914" s="11"/>
      <c r="E914" s="11"/>
      <c r="F914" s="11"/>
    </row>
    <row r="915" spans="1:6" ht="15.75" customHeight="1">
      <c r="A915" s="10"/>
      <c r="B915" s="11"/>
      <c r="C915" s="11"/>
      <c r="D915" s="11"/>
      <c r="E915" s="11"/>
      <c r="F915" s="11"/>
    </row>
    <row r="916" spans="1:6" ht="15.75" customHeight="1">
      <c r="A916" s="10"/>
      <c r="B916" s="11"/>
      <c r="C916" s="11"/>
      <c r="D916" s="11"/>
      <c r="E916" s="11"/>
      <c r="F916" s="11"/>
    </row>
    <row r="917" spans="1:6" ht="15.75" customHeight="1">
      <c r="A917" s="10"/>
      <c r="B917" s="11"/>
      <c r="C917" s="11"/>
      <c r="D917" s="11"/>
      <c r="E917" s="11"/>
      <c r="F917" s="11"/>
    </row>
    <row r="918" spans="1:6" ht="15.75" customHeight="1">
      <c r="A918" s="10"/>
      <c r="B918" s="11"/>
      <c r="C918" s="11"/>
      <c r="D918" s="11"/>
      <c r="E918" s="11"/>
      <c r="F918" s="11"/>
    </row>
    <row r="919" spans="1:6" ht="15.75" customHeight="1">
      <c r="A919" s="10"/>
      <c r="B919" s="11"/>
      <c r="C919" s="11"/>
      <c r="D919" s="11"/>
      <c r="E919" s="11"/>
      <c r="F919" s="11"/>
    </row>
    <row r="920" spans="1:6" ht="15.75" customHeight="1">
      <c r="A920" s="10"/>
      <c r="B920" s="11"/>
      <c r="C920" s="11"/>
      <c r="D920" s="11"/>
      <c r="E920" s="11"/>
      <c r="F920" s="11"/>
    </row>
    <row r="921" spans="1:6" ht="15.75" customHeight="1">
      <c r="A921" s="10"/>
      <c r="B921" s="11"/>
      <c r="C921" s="11"/>
      <c r="D921" s="11"/>
      <c r="E921" s="11"/>
      <c r="F921" s="11"/>
    </row>
    <row r="922" spans="1:6" ht="15.75" customHeight="1">
      <c r="A922" s="10"/>
      <c r="B922" s="11"/>
      <c r="C922" s="11"/>
      <c r="D922" s="11"/>
      <c r="E922" s="11"/>
      <c r="F922" s="11"/>
    </row>
    <row r="923" spans="1:6" ht="15.75" customHeight="1">
      <c r="A923" s="10"/>
      <c r="B923" s="11"/>
      <c r="C923" s="11"/>
      <c r="D923" s="11"/>
      <c r="E923" s="11"/>
      <c r="F923" s="11"/>
    </row>
    <row r="924" spans="1:6" ht="15.75" customHeight="1">
      <c r="A924" s="10"/>
      <c r="B924" s="11"/>
      <c r="C924" s="11"/>
      <c r="D924" s="11"/>
      <c r="E924" s="11"/>
      <c r="F924" s="11"/>
    </row>
    <row r="925" spans="1:6" ht="15.75" customHeight="1">
      <c r="A925" s="10"/>
      <c r="B925" s="11"/>
      <c r="C925" s="11"/>
      <c r="D925" s="11"/>
      <c r="E925" s="11"/>
      <c r="F925" s="11"/>
    </row>
    <row r="926" spans="1:6" ht="15.75" customHeight="1">
      <c r="A926" s="10"/>
      <c r="B926" s="11"/>
      <c r="C926" s="11"/>
      <c r="D926" s="11"/>
      <c r="E926" s="11"/>
      <c r="F926" s="11"/>
    </row>
    <row r="927" spans="1:6" ht="15.75" customHeight="1">
      <c r="A927" s="10"/>
      <c r="B927" s="11"/>
      <c r="C927" s="11"/>
      <c r="D927" s="11"/>
      <c r="E927" s="11"/>
      <c r="F927" s="11"/>
    </row>
    <row r="928" spans="1:6" ht="15.75" customHeight="1">
      <c r="A928" s="10"/>
      <c r="B928" s="11"/>
      <c r="C928" s="11"/>
      <c r="D928" s="11"/>
      <c r="E928" s="11"/>
      <c r="F928" s="11"/>
    </row>
    <row r="929" spans="1:6" ht="15.75" customHeight="1">
      <c r="A929" s="10"/>
      <c r="B929" s="11"/>
      <c r="C929" s="11"/>
      <c r="D929" s="11"/>
      <c r="E929" s="11"/>
      <c r="F929" s="11"/>
    </row>
    <row r="930" spans="1:6" ht="15.75" customHeight="1">
      <c r="A930" s="10"/>
      <c r="B930" s="11"/>
      <c r="C930" s="11"/>
      <c r="D930" s="11"/>
      <c r="E930" s="11"/>
      <c r="F930" s="11"/>
    </row>
    <row r="931" spans="1:6" ht="15.75" customHeight="1">
      <c r="A931" s="10"/>
      <c r="B931" s="11"/>
      <c r="C931" s="11"/>
      <c r="D931" s="11"/>
      <c r="E931" s="11"/>
      <c r="F931" s="11"/>
    </row>
    <row r="932" spans="1:6" ht="15.75" customHeight="1">
      <c r="A932" s="10"/>
      <c r="B932" s="11"/>
      <c r="C932" s="11"/>
      <c r="D932" s="11"/>
      <c r="E932" s="11"/>
      <c r="F932" s="11"/>
    </row>
    <row r="933" spans="1:6" ht="15.75" customHeight="1">
      <c r="A933" s="10"/>
      <c r="B933" s="11"/>
      <c r="C933" s="11"/>
      <c r="D933" s="11"/>
      <c r="E933" s="11"/>
      <c r="F933" s="11"/>
    </row>
    <row r="934" spans="1:6" ht="15.75" customHeight="1">
      <c r="A934" s="10"/>
      <c r="B934" s="11"/>
      <c r="C934" s="11"/>
      <c r="D934" s="11"/>
      <c r="E934" s="11"/>
      <c r="F934" s="11"/>
    </row>
    <row r="935" spans="1:6" ht="15.75" customHeight="1">
      <c r="A935" s="10"/>
      <c r="B935" s="11"/>
      <c r="C935" s="11"/>
      <c r="D935" s="11"/>
      <c r="E935" s="11"/>
      <c r="F935" s="11"/>
    </row>
    <row r="936" spans="1:6" ht="15.75" customHeight="1">
      <c r="A936" s="10"/>
      <c r="B936" s="11"/>
      <c r="C936" s="11"/>
      <c r="D936" s="11"/>
      <c r="E936" s="11"/>
      <c r="F936" s="11"/>
    </row>
    <row r="937" spans="1:6" ht="15.75" customHeight="1">
      <c r="A937" s="10"/>
      <c r="B937" s="11"/>
      <c r="C937" s="11"/>
      <c r="D937" s="11"/>
      <c r="E937" s="11"/>
      <c r="F937" s="11"/>
    </row>
    <row r="938" spans="1:6" ht="15.75" customHeight="1">
      <c r="A938" s="10"/>
      <c r="B938" s="11"/>
      <c r="C938" s="11"/>
      <c r="D938" s="11"/>
      <c r="E938" s="11"/>
      <c r="F938" s="11"/>
    </row>
    <row r="939" spans="1:6" ht="15.75" customHeight="1">
      <c r="A939" s="10"/>
      <c r="B939" s="11"/>
      <c r="C939" s="11"/>
      <c r="D939" s="11"/>
      <c r="E939" s="11"/>
      <c r="F939" s="11"/>
    </row>
    <row r="940" spans="1:6" ht="15.75" customHeight="1">
      <c r="A940" s="10"/>
      <c r="B940" s="11"/>
      <c r="C940" s="11"/>
      <c r="D940" s="11"/>
      <c r="E940" s="11"/>
      <c r="F940" s="11"/>
    </row>
    <row r="941" spans="1:6" ht="15.75" customHeight="1">
      <c r="A941" s="10"/>
      <c r="B941" s="11"/>
      <c r="C941" s="11"/>
      <c r="D941" s="11"/>
      <c r="E941" s="11"/>
      <c r="F941" s="11"/>
    </row>
    <row r="942" spans="1:6" ht="15.75" customHeight="1">
      <c r="A942" s="10"/>
      <c r="B942" s="11"/>
      <c r="C942" s="11"/>
      <c r="D942" s="11"/>
      <c r="E942" s="11"/>
      <c r="F942" s="11"/>
    </row>
    <row r="943" spans="1:6" ht="15.75" customHeight="1">
      <c r="A943" s="10"/>
      <c r="B943" s="11"/>
      <c r="C943" s="11"/>
      <c r="D943" s="11"/>
      <c r="E943" s="11"/>
      <c r="F943" s="11"/>
    </row>
    <row r="944" spans="1:6" ht="15.75" customHeight="1">
      <c r="A944" s="10"/>
      <c r="B944" s="11"/>
      <c r="C944" s="11"/>
      <c r="D944" s="11"/>
      <c r="E944" s="11"/>
      <c r="F944" s="11"/>
    </row>
    <row r="945" spans="1:6" ht="15.75" customHeight="1">
      <c r="A945" s="10"/>
      <c r="B945" s="11"/>
      <c r="C945" s="11"/>
      <c r="D945" s="11"/>
      <c r="E945" s="11"/>
      <c r="F945" s="11"/>
    </row>
    <row r="946" spans="1:6" ht="15.75" customHeight="1">
      <c r="A946" s="10"/>
      <c r="B946" s="11"/>
      <c r="C946" s="11"/>
      <c r="D946" s="11"/>
      <c r="E946" s="11"/>
      <c r="F946" s="11"/>
    </row>
    <row r="947" spans="1:6" ht="15.75" customHeight="1">
      <c r="A947" s="10"/>
      <c r="B947" s="11"/>
      <c r="C947" s="11"/>
      <c r="D947" s="11"/>
      <c r="E947" s="11"/>
      <c r="F947" s="11"/>
    </row>
    <row r="948" spans="1:6" ht="15.75" customHeight="1">
      <c r="A948" s="10"/>
      <c r="B948" s="11"/>
      <c r="C948" s="11"/>
      <c r="D948" s="11"/>
      <c r="E948" s="11"/>
      <c r="F948" s="11"/>
    </row>
    <row r="949" spans="1:6" ht="15.75" customHeight="1">
      <c r="A949" s="10"/>
      <c r="B949" s="11"/>
      <c r="C949" s="11"/>
      <c r="D949" s="11"/>
      <c r="E949" s="11"/>
      <c r="F949" s="11"/>
    </row>
    <row r="950" spans="1:6" ht="15.75" customHeight="1">
      <c r="A950" s="10"/>
      <c r="B950" s="11"/>
      <c r="C950" s="11"/>
      <c r="D950" s="11"/>
      <c r="E950" s="11"/>
      <c r="F950" s="11"/>
    </row>
    <row r="951" spans="1:6" ht="15.75" customHeight="1">
      <c r="A951" s="10"/>
      <c r="B951" s="11"/>
      <c r="C951" s="11"/>
      <c r="D951" s="11"/>
      <c r="E951" s="11"/>
      <c r="F951" s="11"/>
    </row>
    <row r="952" spans="1:6" ht="15.75" customHeight="1">
      <c r="A952" s="10"/>
      <c r="B952" s="11"/>
      <c r="C952" s="11"/>
      <c r="D952" s="11"/>
      <c r="E952" s="11"/>
      <c r="F952" s="11"/>
    </row>
    <row r="953" spans="1:6" ht="15.75" customHeight="1">
      <c r="A953" s="10"/>
      <c r="B953" s="11"/>
      <c r="C953" s="11"/>
      <c r="D953" s="11"/>
      <c r="E953" s="11"/>
      <c r="F953" s="11"/>
    </row>
    <row r="954" spans="1:6" ht="15.75" customHeight="1">
      <c r="A954" s="10"/>
      <c r="B954" s="11"/>
      <c r="C954" s="11"/>
      <c r="D954" s="11"/>
      <c r="E954" s="11"/>
      <c r="F954" s="11"/>
    </row>
    <row r="955" spans="1:6" ht="15.75" customHeight="1">
      <c r="A955" s="10"/>
      <c r="B955" s="11"/>
      <c r="C955" s="11"/>
      <c r="D955" s="11"/>
      <c r="E955" s="11"/>
      <c r="F955" s="11"/>
    </row>
    <row r="956" spans="1:6" ht="15.75" customHeight="1">
      <c r="A956" s="10"/>
      <c r="B956" s="11"/>
      <c r="C956" s="11"/>
      <c r="D956" s="11"/>
      <c r="E956" s="11"/>
      <c r="F956" s="11"/>
    </row>
    <row r="957" spans="1:6" ht="15.75" customHeight="1">
      <c r="A957" s="10"/>
      <c r="B957" s="11"/>
      <c r="C957" s="11"/>
      <c r="D957" s="11"/>
      <c r="E957" s="11"/>
      <c r="F957" s="11"/>
    </row>
    <row r="958" spans="1:6" ht="15.75" customHeight="1">
      <c r="A958" s="10"/>
      <c r="B958" s="11"/>
      <c r="C958" s="11"/>
      <c r="D958" s="11"/>
      <c r="E958" s="11"/>
      <c r="F958" s="11"/>
    </row>
    <row r="959" spans="1:6" ht="15.75" customHeight="1">
      <c r="A959" s="10"/>
      <c r="B959" s="11"/>
      <c r="C959" s="11"/>
      <c r="D959" s="11"/>
      <c r="E959" s="11"/>
      <c r="F959" s="11"/>
    </row>
    <row r="960" spans="1:6" ht="15.75" customHeight="1">
      <c r="A960" s="10"/>
      <c r="B960" s="11"/>
      <c r="C960" s="11"/>
      <c r="D960" s="11"/>
      <c r="E960" s="11"/>
      <c r="F960" s="11"/>
    </row>
    <row r="961" spans="1:6" ht="15.75" customHeight="1">
      <c r="A961" s="10"/>
      <c r="B961" s="11"/>
      <c r="C961" s="11"/>
      <c r="D961" s="11"/>
      <c r="E961" s="11"/>
      <c r="F961" s="11"/>
    </row>
    <row r="962" spans="1:6" ht="15.75" customHeight="1">
      <c r="A962" s="10"/>
      <c r="B962" s="11"/>
      <c r="C962" s="11"/>
      <c r="D962" s="11"/>
      <c r="E962" s="11"/>
      <c r="F962" s="11"/>
    </row>
    <row r="963" spans="1:6" ht="15.75" customHeight="1">
      <c r="A963" s="10"/>
      <c r="B963" s="11"/>
      <c r="C963" s="11"/>
      <c r="D963" s="11"/>
      <c r="E963" s="11"/>
      <c r="F963" s="11"/>
    </row>
    <row r="964" spans="1:6" ht="15.75" customHeight="1">
      <c r="A964" s="10"/>
      <c r="B964" s="11"/>
      <c r="C964" s="11"/>
      <c r="D964" s="11"/>
      <c r="E964" s="11"/>
      <c r="F964" s="11"/>
    </row>
    <row r="965" spans="1:6" ht="15.75" customHeight="1">
      <c r="A965" s="10"/>
      <c r="B965" s="11"/>
      <c r="C965" s="11"/>
      <c r="D965" s="11"/>
      <c r="E965" s="11"/>
      <c r="F965" s="11"/>
    </row>
    <row r="966" spans="1:6" ht="15.75" customHeight="1">
      <c r="A966" s="10"/>
      <c r="B966" s="11"/>
      <c r="C966" s="11"/>
      <c r="D966" s="11"/>
      <c r="E966" s="11"/>
      <c r="F966" s="11"/>
    </row>
    <row r="967" spans="1:6" ht="15.75" customHeight="1">
      <c r="A967" s="10"/>
      <c r="B967" s="11"/>
      <c r="C967" s="11"/>
      <c r="D967" s="11"/>
      <c r="E967" s="11"/>
      <c r="F967" s="11"/>
    </row>
    <row r="968" spans="1:6" ht="15.75" customHeight="1">
      <c r="A968" s="10"/>
      <c r="B968" s="11"/>
      <c r="C968" s="11"/>
      <c r="D968" s="11"/>
      <c r="E968" s="11"/>
      <c r="F968" s="11"/>
    </row>
    <row r="969" spans="1:6" ht="15.75" customHeight="1">
      <c r="A969" s="10"/>
      <c r="B969" s="11"/>
      <c r="C969" s="11"/>
      <c r="D969" s="11"/>
      <c r="E969" s="11"/>
      <c r="F969" s="11"/>
    </row>
    <row r="970" spans="1:6" ht="15.75" customHeight="1">
      <c r="A970" s="10"/>
      <c r="B970" s="11"/>
      <c r="C970" s="11"/>
      <c r="D970" s="11"/>
      <c r="E970" s="11"/>
      <c r="F970" s="11"/>
    </row>
    <row r="971" spans="1:6" ht="15.75" customHeight="1">
      <c r="A971" s="10"/>
      <c r="B971" s="11"/>
      <c r="C971" s="11"/>
      <c r="D971" s="11"/>
      <c r="E971" s="11"/>
      <c r="F971" s="11"/>
    </row>
    <row r="972" spans="1:6" ht="15.75" customHeight="1">
      <c r="A972" s="10"/>
      <c r="B972" s="11"/>
      <c r="C972" s="11"/>
      <c r="D972" s="11"/>
      <c r="E972" s="11"/>
      <c r="F972" s="11"/>
    </row>
    <row r="973" spans="1:6" ht="15.75" customHeight="1">
      <c r="A973" s="10"/>
      <c r="B973" s="11"/>
      <c r="C973" s="11"/>
      <c r="D973" s="11"/>
      <c r="E973" s="11"/>
      <c r="F973" s="11"/>
    </row>
    <row r="974" spans="1:6" ht="15.75" customHeight="1">
      <c r="A974" s="10"/>
      <c r="B974" s="11"/>
      <c r="C974" s="11"/>
      <c r="D974" s="11"/>
      <c r="E974" s="11"/>
      <c r="F974" s="11"/>
    </row>
    <row r="975" spans="1:6" ht="15.75" customHeight="1">
      <c r="A975" s="10"/>
      <c r="B975" s="11"/>
      <c r="C975" s="11"/>
      <c r="D975" s="11"/>
      <c r="E975" s="11"/>
      <c r="F975" s="11"/>
    </row>
    <row r="976" spans="1:6" ht="15.75" customHeight="1">
      <c r="A976" s="10"/>
      <c r="B976" s="11"/>
      <c r="C976" s="11"/>
      <c r="D976" s="11"/>
      <c r="E976" s="11"/>
      <c r="F976" s="11"/>
    </row>
    <row r="977" spans="1:6" ht="15.75" customHeight="1">
      <c r="A977" s="10"/>
      <c r="B977" s="11"/>
      <c r="C977" s="11"/>
      <c r="D977" s="11"/>
      <c r="E977" s="11"/>
      <c r="F977" s="11"/>
    </row>
    <row r="978" spans="1:6" ht="15.75" customHeight="1">
      <c r="A978" s="10"/>
      <c r="B978" s="11"/>
      <c r="C978" s="11"/>
      <c r="D978" s="11"/>
      <c r="E978" s="11"/>
      <c r="F978" s="11"/>
    </row>
    <row r="979" spans="1:6" ht="15.75" customHeight="1">
      <c r="A979" s="10"/>
      <c r="B979" s="11"/>
      <c r="C979" s="11"/>
      <c r="D979" s="11"/>
      <c r="E979" s="11"/>
      <c r="F979" s="11"/>
    </row>
    <row r="980" spans="1:6" ht="15.75" customHeight="1">
      <c r="A980" s="10"/>
      <c r="B980" s="11"/>
      <c r="C980" s="11"/>
      <c r="D980" s="11"/>
      <c r="E980" s="11"/>
      <c r="F980" s="11"/>
    </row>
    <row r="981" spans="1:6" ht="15.75" customHeight="1">
      <c r="A981" s="10"/>
      <c r="B981" s="11"/>
      <c r="C981" s="11"/>
      <c r="D981" s="11"/>
      <c r="E981" s="11"/>
      <c r="F981" s="11"/>
    </row>
    <row r="982" spans="1:6" ht="15.75" customHeight="1">
      <c r="A982" s="10"/>
      <c r="B982" s="11"/>
      <c r="C982" s="11"/>
      <c r="D982" s="11"/>
      <c r="E982" s="11"/>
      <c r="F982" s="11"/>
    </row>
    <row r="983" spans="1:6" ht="15.75" customHeight="1">
      <c r="A983" s="10"/>
      <c r="B983" s="11"/>
      <c r="C983" s="11"/>
      <c r="D983" s="11"/>
      <c r="E983" s="11"/>
      <c r="F983" s="11"/>
    </row>
    <row r="984" spans="1:6" ht="15.75" customHeight="1">
      <c r="A984" s="10"/>
      <c r="B984" s="11"/>
      <c r="C984" s="11"/>
      <c r="D984" s="11"/>
      <c r="E984" s="11"/>
      <c r="F984" s="11"/>
    </row>
    <row r="985" spans="1:6" ht="15.75" customHeight="1">
      <c r="A985" s="10"/>
      <c r="B985" s="11"/>
      <c r="C985" s="11"/>
      <c r="D985" s="11"/>
      <c r="E985" s="11"/>
      <c r="F985" s="11"/>
    </row>
    <row r="986" spans="1:6" ht="15.75" customHeight="1">
      <c r="A986" s="10"/>
      <c r="B986" s="11"/>
      <c r="C986" s="11"/>
      <c r="D986" s="11"/>
      <c r="E986" s="11"/>
      <c r="F986" s="11"/>
    </row>
    <row r="987" spans="1:6" ht="15.75" customHeight="1">
      <c r="A987" s="10"/>
      <c r="B987" s="11"/>
      <c r="C987" s="11"/>
      <c r="D987" s="11"/>
      <c r="E987" s="11"/>
      <c r="F987" s="11"/>
    </row>
    <row r="988" spans="1:6" ht="15.75" customHeight="1">
      <c r="A988" s="10"/>
      <c r="B988" s="11"/>
      <c r="C988" s="11"/>
      <c r="D988" s="11"/>
      <c r="E988" s="11"/>
      <c r="F988" s="11"/>
    </row>
    <row r="989" spans="1:6" ht="15.75" customHeight="1">
      <c r="A989" s="10"/>
      <c r="B989" s="11"/>
      <c r="C989" s="11"/>
      <c r="D989" s="11"/>
      <c r="E989" s="11"/>
      <c r="F989" s="11"/>
    </row>
    <row r="990" spans="1:6" ht="15.75" customHeight="1">
      <c r="A990" s="10"/>
      <c r="B990" s="11"/>
      <c r="C990" s="11"/>
      <c r="D990" s="11"/>
      <c r="E990" s="11"/>
      <c r="F990" s="11"/>
    </row>
    <row r="991" spans="1:6" ht="15.75" customHeight="1">
      <c r="A991" s="10"/>
      <c r="B991" s="11"/>
      <c r="C991" s="11"/>
      <c r="D991" s="11"/>
      <c r="E991" s="11"/>
      <c r="F991" s="11"/>
    </row>
    <row r="992" spans="1:6" ht="15.75" customHeight="1">
      <c r="A992" s="10"/>
      <c r="B992" s="11"/>
      <c r="C992" s="11"/>
      <c r="D992" s="11"/>
      <c r="E992" s="11"/>
      <c r="F992" s="11"/>
    </row>
    <row r="993" spans="1:6" ht="15.75" customHeight="1">
      <c r="A993" s="10"/>
      <c r="B993" s="11"/>
      <c r="C993" s="11"/>
      <c r="D993" s="11"/>
      <c r="E993" s="11"/>
      <c r="F993" s="11"/>
    </row>
    <row r="994" spans="1:6" ht="15.75" customHeight="1">
      <c r="A994" s="10"/>
      <c r="B994" s="11"/>
      <c r="C994" s="11"/>
      <c r="D994" s="11"/>
      <c r="E994" s="11"/>
      <c r="F994" s="11"/>
    </row>
    <row r="995" spans="1:6" ht="15.75" customHeight="1">
      <c r="A995" s="10"/>
      <c r="B995" s="11"/>
      <c r="C995" s="11"/>
      <c r="D995" s="11"/>
      <c r="E995" s="11"/>
      <c r="F995" s="11"/>
    </row>
    <row r="996" spans="1:6" ht="15.75" customHeight="1">
      <c r="A996" s="10"/>
      <c r="B996" s="11"/>
      <c r="C996" s="11"/>
      <c r="D996" s="11"/>
      <c r="E996" s="11"/>
      <c r="F996" s="11"/>
    </row>
  </sheetData>
  <mergeCells count="2">
    <mergeCell ref="A1:C1"/>
    <mergeCell ref="A2:C2"/>
  </mergeCells>
  <pageMargins left="0.7" right="0.7" top="0.75" bottom="0.75" header="0" footer="0"/>
  <pageSetup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6600"/>
  </sheetPr>
  <dimension ref="A1:Z996"/>
  <sheetViews>
    <sheetView workbookViewId="0"/>
  </sheetViews>
  <sheetFormatPr defaultColWidth="11.25" defaultRowHeight="15" customHeight="1"/>
  <cols>
    <col min="1" max="1" width="6.5" customWidth="1"/>
    <col min="2" max="2" width="53.375" customWidth="1"/>
    <col min="3" max="3" width="18.375" customWidth="1"/>
    <col min="4" max="4" width="20.5" customWidth="1"/>
    <col min="5" max="5" width="13.375" customWidth="1"/>
    <col min="6" max="6" width="14.625" customWidth="1"/>
    <col min="7" max="26" width="10" customWidth="1"/>
  </cols>
  <sheetData>
    <row r="1" spans="1:26" ht="33.75" customHeight="1">
      <c r="A1" s="79" t="s">
        <v>425</v>
      </c>
      <c r="B1" s="77"/>
      <c r="C1" s="77"/>
      <c r="D1" s="74" t="s">
        <v>414</v>
      </c>
      <c r="E1" s="74" t="s">
        <v>2</v>
      </c>
      <c r="F1" s="74" t="s">
        <v>3</v>
      </c>
    </row>
    <row r="2" spans="1:26" ht="28.5" customHeight="1">
      <c r="A2" s="80" t="s">
        <v>426</v>
      </c>
      <c r="B2" s="81"/>
      <c r="C2" s="82"/>
      <c r="D2" s="15" t="str">
        <f ca="1">IFERROR(__xludf.DUMMYFUNCTION("GOOGLETRANSLATE(A2,(""auto""),(""es""))"),"03 Conjunto de interruptor derecho")</f>
        <v>03 Conjunto de interruptor derecho</v>
      </c>
      <c r="E2" s="15" t="str">
        <f ca="1">IFERROR(__xludf.DUMMYFUNCTION("GOOGLETRANSLATE(A2,(""auto""),(""FR""))"),"03 Assemblage de l'interrupteur droit")</f>
        <v>03 Assemblage de l'interrupteur droit</v>
      </c>
      <c r="F2" s="15" t="str">
        <f ca="1">IFERROR(__xludf.DUMMYFUNCTION("GOOGLETRANSLATE(A2,(""auto""),(""IT""))"),"03 Assemblaggio dell'interruttore a destra")</f>
        <v>03 Assemblaggio dell'interruttore a destra</v>
      </c>
      <c r="G2" s="12"/>
      <c r="H2" s="12"/>
      <c r="I2" s="12"/>
      <c r="J2" s="12"/>
      <c r="K2" s="12"/>
      <c r="L2" s="12"/>
      <c r="M2" s="12"/>
      <c r="N2" s="12"/>
      <c r="O2" s="12"/>
      <c r="P2" s="12"/>
      <c r="Q2" s="12"/>
      <c r="R2" s="12"/>
      <c r="S2" s="12"/>
      <c r="T2" s="12"/>
      <c r="U2" s="12"/>
      <c r="V2" s="12"/>
      <c r="W2" s="12"/>
      <c r="X2" s="12"/>
      <c r="Y2" s="12"/>
      <c r="Z2" s="12"/>
    </row>
    <row r="3" spans="1:26" ht="30" customHeight="1">
      <c r="A3" s="16" t="s">
        <v>416</v>
      </c>
      <c r="B3" s="17" t="s">
        <v>146</v>
      </c>
      <c r="C3" s="18" t="s">
        <v>427</v>
      </c>
      <c r="D3" s="15" t="str">
        <f ca="1">IFERROR(__xludf.DUMMYFUNCTION("GOOGLETRANSLATE(B3,(""auto""),(""es""))"),"Preparación:")</f>
        <v>Preparación:</v>
      </c>
      <c r="E3" s="15" t="str">
        <f ca="1">IFERROR(__xludf.DUMMYFUNCTION("GOOGLETRANSLATE(B3,(""auto""),(""FR""))"),"Préparation:")</f>
        <v>Préparation:</v>
      </c>
      <c r="F3" s="15" t="str">
        <f ca="1">IFERROR(__xludf.DUMMYFUNCTION("GOOGLETRANSLATE(B3,(""auto""),(""IT""))"),"Preparazione:")</f>
        <v>Preparazione:</v>
      </c>
    </row>
    <row r="4" spans="1:26" ht="30" customHeight="1">
      <c r="A4" s="19">
        <v>1</v>
      </c>
      <c r="B4" s="17" t="s">
        <v>428</v>
      </c>
      <c r="C4" s="20"/>
      <c r="D4" s="15" t="str">
        <f ca="1">IFERROR(__xludf.DUMMYFUNCTION("GOOGLETRANSLATE(B4,(""auto""),(""es""))"),"Retire la canasta delantera - consulte el Capítulo 2, Sección 0")</f>
        <v>Retire la canasta delantera - consulte el Capítulo 2, Sección 0</v>
      </c>
      <c r="E4" s="15" t="str">
        <f ca="1">IFERROR(__xludf.DUMMYFUNCTION("GOOGLETRANSLATE(B4,(""auto""),(""FR""))"),"Retirez le panier avant - voir le chapitre 2, section 0")</f>
        <v>Retirez le panier avant - voir le chapitre 2, section 0</v>
      </c>
      <c r="F4" s="15" t="str">
        <f ca="1">IFERROR(__xludf.DUMMYFUNCTION("GOOGLETRANSLATE(B4,(""auto""),(""IT""))"),"Rimuovi il cestino anteriore - Vedi il capitolo 2, sezione 0")</f>
        <v>Rimuovi il cestino anteriore - Vedi il capitolo 2, sezione 0</v>
      </c>
    </row>
    <row r="5" spans="1:26" ht="45" customHeight="1">
      <c r="A5" s="19">
        <v>2</v>
      </c>
      <c r="B5" s="17" t="s">
        <v>429</v>
      </c>
      <c r="C5" s="20"/>
      <c r="D5" s="15" t="str">
        <f ca="1">IFERROR(__xludf.DUMMYFUNCTION("GOOGLETRANSLATE(B5,(""auto""),(""es""))"),"Retire la cubierta frontal ---- Consulte el Capítulo 2, Sección 02")</f>
        <v>Retire la cubierta frontal ---- Consulte el Capítulo 2, Sección 02</v>
      </c>
      <c r="E5" s="15" t="str">
        <f ca="1">IFERROR(__xludf.DUMMYFUNCTION("GOOGLETRANSLATE(B5,(""auto""),(""FR""))"),"Retirez le couvercle avant ---- Voir chapitre 2, section 02")</f>
        <v>Retirez le couvercle avant ---- Voir chapitre 2, section 02</v>
      </c>
      <c r="F5" s="15" t="str">
        <f ca="1">IFERROR(__xludf.DUMMYFUNCTION("GOOGLETRANSLATE(B5,(""auto""),(""IT""))"),"Rimuovere il coperchio anteriore ---- Vedi capitolo 2, Sezione 02")</f>
        <v>Rimuovere il coperchio anteriore ---- Vedi capitolo 2, Sezione 02</v>
      </c>
    </row>
    <row r="6" spans="1:26" ht="45" customHeight="1">
      <c r="A6" s="19">
        <v>3</v>
      </c>
      <c r="B6" s="17" t="s">
        <v>430</v>
      </c>
      <c r="C6" s="20"/>
      <c r="D6" s="15" t="str">
        <f ca="1">IFERROR(__xludf.DUMMYFUNCTION("GOOGLETRANSLATE(B6,(""auto""),(""es""))"),"Retire la placa eléctrica - consulte el Capítulo 2, Sección 03")</f>
        <v>Retire la placa eléctrica - consulte el Capítulo 2, Sección 03</v>
      </c>
      <c r="E6" s="15" t="str">
        <f ca="1">IFERROR(__xludf.DUMMYFUNCTION("GOOGLETRANSLATE(B6,(""auto""),(""FR""))"),"Retirez la plaque électrique - voir chapitre 2, section 03")</f>
        <v>Retirez la plaque électrique - voir chapitre 2, section 03</v>
      </c>
      <c r="F6" s="15" t="str">
        <f ca="1">IFERROR(__xludf.DUMMYFUNCTION("GOOGLETRANSLATE(B6,(""auto""),(""IT""))"),"Rimuovere la piastra elettrica - vedere il capitolo 2, sezione 03")</f>
        <v>Rimuovere la piastra elettrica - vedere il capitolo 2, sezione 03</v>
      </c>
    </row>
    <row r="7" spans="1:26" ht="45" customHeight="1">
      <c r="A7" s="19">
        <v>4</v>
      </c>
      <c r="B7" s="17" t="s">
        <v>431</v>
      </c>
      <c r="C7" s="20"/>
      <c r="D7" s="15" t="str">
        <f ca="1">IFERROR(__xludf.DUMMYFUNCTION("GOOGLETRANSLATE(B7,(""auto""),(""es""))"),"
Retire el soporte del velocímetro ---- Consulte el primer capítulo 02 Sección 1")</f>
        <v xml:space="preserve">
Retire el soporte del velocímetro ---- Consulte el primer capítulo 02 Sección 1</v>
      </c>
      <c r="E7" s="15" t="str">
        <f ca="1">IFERROR(__xludf.DUMMYFUNCTION("GOOGLETRANSLATE(B7,(""auto""),(""FR""))"),"
Retirez le support de compteur de vitesse ---- Voir le premier chapitre 02 Section 1")</f>
        <v xml:space="preserve">
Retirez le support de compteur de vitesse ---- Voir le premier chapitre 02 Section 1</v>
      </c>
      <c r="F7" s="15" t="str">
        <f ca="1">IFERROR(__xludf.DUMMYFUNCTION("GOOGLETRANSLATE(B7,(""auto""),(""IT""))"),"
Rimuovere la staffa del tachimetro ---- Vedi il primo capitolo 02 Sezione 1")</f>
        <v xml:space="preserve">
Rimuovere la staffa del tachimetro ---- Vedi il primo capitolo 02 Sezione 1</v>
      </c>
    </row>
    <row r="8" spans="1:26" ht="30" customHeight="1">
      <c r="A8" s="21" t="s">
        <v>150</v>
      </c>
      <c r="B8" s="21" t="s">
        <v>421</v>
      </c>
      <c r="C8" s="18" t="s">
        <v>422</v>
      </c>
      <c r="D8" s="15" t="str">
        <f ca="1">IFERROR(__xludf.DUMMYFUNCTION("GOOGLETRANSLATE(B8,(""auto""),(""es""))"),"
Descripción")</f>
        <v xml:space="preserve">
Descripción</v>
      </c>
      <c r="E8" s="15" t="str">
        <f ca="1">IFERROR(__xludf.DUMMYFUNCTION("GOOGLETRANSLATE(B8,(""auto""),(""FR""))"),"
Description")</f>
        <v xml:space="preserve">
Description</v>
      </c>
      <c r="F8" s="15" t="str">
        <f ca="1">IFERROR(__xludf.DUMMYFUNCTION("GOOGLETRANSLATE(B8,(""auto""),(""IT""))"),"
Descrizione")</f>
        <v xml:space="preserve">
Descrizione</v>
      </c>
    </row>
    <row r="9" spans="1:26" ht="87.75" customHeight="1">
      <c r="A9" s="19">
        <v>1</v>
      </c>
      <c r="B9" s="22" t="s">
        <v>432</v>
      </c>
      <c r="C9" s="20"/>
      <c r="D9" s="15" t="str">
        <f ca="1">IFERROR(__xludf.DUMMYFUNCTION("GOOGLETRANSLATE(B9,(""auto""),(""es""))"),"
Desenchufe el conector de ensamblaje del interruptor derecho, gire el conector de la manija y desenchufe el arnés")</f>
        <v xml:space="preserve">
Desenchufe el conector de ensamblaje del interruptor derecho, gire el conector de la manija y desenchufe el arnés</v>
      </c>
      <c r="E9" s="15" t="str">
        <f ca="1">IFERROR(__xludf.DUMMYFUNCTION("GOOGLETRANSLATE(B9,(""auto""),(""FR""))"),"
Débranchez le connecteur d'assemblage de l'interrupteur droit, tournez le connecteur de poignée et débranchez le faisceau")</f>
        <v xml:space="preserve">
Débranchez le connecteur d'assemblage de l'interrupteur droit, tournez le connecteur de poignée et débranchez le faisceau</v>
      </c>
      <c r="F9" s="15" t="str">
        <f ca="1">IFERROR(__xludf.DUMMYFUNCTION("GOOGLETRANSLATE(B9,(""auto""),(""IT""))"),"
Scollegare il connettore del gruppo interruttore destro, girare il connettore dell'impugnatura e scollegare il cablaggio")</f>
        <v xml:space="preserve">
Scollegare il connettore del gruppo interruttore destro, girare il connettore dell'impugnatura e scollegare il cablaggio</v>
      </c>
    </row>
    <row r="10" spans="1:26" ht="66.75" customHeight="1">
      <c r="A10" s="19">
        <v>2</v>
      </c>
      <c r="B10" s="22" t="s">
        <v>433</v>
      </c>
      <c r="C10" s="20"/>
      <c r="D10" s="15" t="str">
        <f ca="1">IFERROR(__xludf.DUMMYFUNCTION("GOOGLETRANSLATE(B10,(""auto""),(""es""))"),"
Retire el perno de fijación de fijación de la bomba superior del freno derecho con una llave de 8 mm")</f>
        <v xml:space="preserve">
Retire el perno de fijación de fijación de la bomba superior del freno derecho con una llave de 8 mm</v>
      </c>
      <c r="E10" s="15" t="str">
        <f ca="1">IFERROR(__xludf.DUMMYFUNCTION("GOOGLETRANSLATE(B10,(""auto""),(""FR""))"),"
Retirez le boulon de fixation de la pompe supérieure du frein droit avec une clé de 8 mm")</f>
        <v xml:space="preserve">
Retirez le boulon de fixation de la pompe supérieure du frein droit avec une clé de 8 mm</v>
      </c>
      <c r="F10" s="15" t="str">
        <f ca="1">IFERROR(__xludf.DUMMYFUNCTION("GOOGLETRANSLATE(B10,(""auto""),(""IT""))"),"
Rimuovere il bullone di fissaggio della pompa superiore freno destro con una chiave a 8 mm")</f>
        <v xml:space="preserve">
Rimuovere il bullone di fissaggio della pompa superiore freno destro con una chiave a 8 mm</v>
      </c>
    </row>
    <row r="11" spans="1:26" ht="95.25" customHeight="1">
      <c r="A11" s="19">
        <v>3</v>
      </c>
      <c r="B11" s="22" t="s">
        <v>434</v>
      </c>
      <c r="C11" s="20"/>
      <c r="D11" s="15" t="str">
        <f ca="1">IFERROR(__xludf.DUMMYFUNCTION("GOOGLETRANSLATE(B11,(""auto""),(""es""))"),"
Retire el conjunto del interruptor derecho de 2 tornillos con un destornillador de Phillips (marcado en la imagen)")</f>
        <v xml:space="preserve">
Retire el conjunto del interruptor derecho de 2 tornillos con un destornillador de Phillips (marcado en la imagen)</v>
      </c>
      <c r="E11" s="15" t="str">
        <f ca="1">IFERROR(__xludf.DUMMYFUNCTION("GOOGLETRANSLATE(B11,(""auto""),(""FR""))"),"
Retirez l'ensemble de l'interrupteur droit de 2 vis avec un tournevis Phillips (marqué sur l'image)")</f>
        <v xml:space="preserve">
Retirez l'ensemble de l'interrupteur droit de 2 vis avec un tournevis Phillips (marqué sur l'image)</v>
      </c>
      <c r="F11" s="15" t="str">
        <f ca="1">IFERROR(__xludf.DUMMYFUNCTION("GOOGLETRANSLATE(B11,(""auto""),(""IT""))"),"
Rimuovere il gruppo interruttore destro di 2 viti con un cacciavite Phillips (contrassegnato nell'immagine)")</f>
        <v xml:space="preserve">
Rimuovere il gruppo interruttore destro di 2 viti con un cacciavite Phillips (contrassegnato nell'immagine)</v>
      </c>
    </row>
    <row r="12" spans="1:26" ht="95.25" customHeight="1">
      <c r="A12" s="19">
        <v>4</v>
      </c>
      <c r="B12" s="22" t="s">
        <v>435</v>
      </c>
      <c r="C12" s="20"/>
      <c r="D12" s="15" t="str">
        <f ca="1">IFERROR(__xludf.DUMMYFUNCTION("GOOGLETRANSLATE(B12,(""auto""),(""es""))"),"
Retire los pernos con una llave hexagonal interna de 5 mm y retire el peso del mango")</f>
        <v xml:space="preserve">
Retire los pernos con una llave hexagonal interna de 5 mm y retire el peso del mango</v>
      </c>
      <c r="E12" s="15" t="str">
        <f ca="1">IFERROR(__xludf.DUMMYFUNCTION("GOOGLETRANSLATE(B12,(""auto""),(""FR""))"),"
Retirez les boulons avec une clé hexagonale intérieure de 5 mm et retirez le poids de la poignée")</f>
        <v xml:space="preserve">
Retirez les boulons avec une clé hexagonale intérieure de 5 mm et retirez le poids de la poignée</v>
      </c>
      <c r="F12" s="15" t="str">
        <f ca="1">IFERROR(__xludf.DUMMYFUNCTION("GOOGLETRANSLATE(B12,(""auto""),(""IT""))"),"
Rimuovere i bulloni con chiave esagonale interna da 5 mm e rimuovere il peso della maniglia")</f>
        <v xml:space="preserve">
Rimuovere i bulloni con chiave esagonale interna da 5 mm e rimuovere il peso della maniglia</v>
      </c>
    </row>
    <row r="13" spans="1:26">
      <c r="A13" s="23"/>
    </row>
    <row r="14" spans="1:26">
      <c r="A14" s="23"/>
    </row>
    <row r="15" spans="1:26">
      <c r="A15" s="23"/>
    </row>
    <row r="16" spans="1:26">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sheetData>
  <mergeCells count="2">
    <mergeCell ref="A1:C1"/>
    <mergeCell ref="A2:C2"/>
  </mergeCells>
  <pageMargins left="0.7" right="0.7" top="0.75" bottom="0.75" header="0" footer="0"/>
  <pageSetup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6600"/>
  </sheetPr>
  <dimension ref="A1:Z995"/>
  <sheetViews>
    <sheetView workbookViewId="0"/>
  </sheetViews>
  <sheetFormatPr defaultColWidth="11.25" defaultRowHeight="15" customHeight="1"/>
  <cols>
    <col min="1" max="1" width="6.125" customWidth="1"/>
    <col min="2" max="2" width="53.375" customWidth="1"/>
    <col min="3" max="3" width="18.375" customWidth="1"/>
    <col min="4" max="6" width="8.75" customWidth="1"/>
    <col min="7" max="26" width="10" customWidth="1"/>
  </cols>
  <sheetData>
    <row r="1" spans="1:26" ht="55.5" customHeight="1">
      <c r="A1" s="79" t="s">
        <v>425</v>
      </c>
      <c r="B1" s="77"/>
      <c r="C1" s="77"/>
    </row>
    <row r="2" spans="1:26" ht="30" customHeight="1">
      <c r="A2" s="80" t="s">
        <v>436</v>
      </c>
      <c r="B2" s="81"/>
      <c r="C2" s="82"/>
      <c r="D2" s="15" t="str">
        <f ca="1">IFERROR(__xludf.DUMMYFUNCTION("GOOGLETRANSLATE(A2,(""auto""),(""es""))"),"04 Conjunto del interruptor izquierdo")</f>
        <v>04 Conjunto del interruptor izquierdo</v>
      </c>
      <c r="E2" s="15" t="str">
        <f ca="1">IFERROR(__xludf.DUMMYFUNCTION("GOOGLETRANSLATE(A2,(""auto""),(""FR""))"),"04 Assemblage de l'interrupteur de gauche")</f>
        <v>04 Assemblage de l'interrupteur de gauche</v>
      </c>
      <c r="F2" s="15" t="str">
        <f ca="1">IFERROR(__xludf.DUMMYFUNCTION("GOOGLETRANSLATE(A2,(""auto""),(""IT""))"),"04 Assemblaggio dell'interruttore sinistro")</f>
        <v>04 Assemblaggio dell'interruttore sinistro</v>
      </c>
      <c r="G2" s="9"/>
      <c r="H2" s="9"/>
      <c r="I2" s="9"/>
      <c r="J2" s="9"/>
      <c r="K2" s="9"/>
      <c r="L2" s="9"/>
      <c r="M2" s="9"/>
      <c r="N2" s="9"/>
      <c r="O2" s="9"/>
      <c r="P2" s="9"/>
      <c r="Q2" s="9"/>
      <c r="R2" s="9"/>
      <c r="S2" s="9"/>
      <c r="T2" s="9"/>
      <c r="U2" s="9"/>
      <c r="V2" s="9"/>
      <c r="W2" s="9"/>
      <c r="X2" s="9"/>
      <c r="Y2" s="9"/>
      <c r="Z2" s="9"/>
    </row>
    <row r="3" spans="1:26" ht="30" customHeight="1">
      <c r="A3" s="16" t="s">
        <v>416</v>
      </c>
      <c r="B3" s="17" t="s">
        <v>437</v>
      </c>
      <c r="C3" s="18" t="s">
        <v>427</v>
      </c>
    </row>
    <row r="4" spans="1:26" ht="30" customHeight="1">
      <c r="A4" s="19">
        <v>1</v>
      </c>
      <c r="B4" s="17" t="s">
        <v>428</v>
      </c>
      <c r="C4" s="20"/>
    </row>
    <row r="5" spans="1:26" ht="45" customHeight="1">
      <c r="A5" s="19">
        <v>2</v>
      </c>
      <c r="B5" s="17" t="s">
        <v>418</v>
      </c>
      <c r="C5" s="20"/>
    </row>
    <row r="6" spans="1:26" ht="45" customHeight="1">
      <c r="A6" s="19">
        <v>3</v>
      </c>
      <c r="B6" s="17" t="s">
        <v>438</v>
      </c>
      <c r="C6" s="20"/>
    </row>
    <row r="7" spans="1:26" ht="45" customHeight="1">
      <c r="A7" s="19">
        <v>4</v>
      </c>
      <c r="B7" s="17" t="s">
        <v>431</v>
      </c>
      <c r="C7" s="20"/>
    </row>
    <row r="8" spans="1:26" ht="30" customHeight="1">
      <c r="A8" s="21" t="s">
        <v>420</v>
      </c>
      <c r="B8" s="21" t="s">
        <v>421</v>
      </c>
      <c r="C8" s="18" t="s">
        <v>422</v>
      </c>
    </row>
    <row r="9" spans="1:26" ht="90.75" customHeight="1">
      <c r="A9" s="24">
        <v>1</v>
      </c>
      <c r="B9" s="22" t="s">
        <v>439</v>
      </c>
      <c r="C9" s="20"/>
    </row>
    <row r="10" spans="1:26" ht="66.75" customHeight="1">
      <c r="A10" s="24">
        <v>2</v>
      </c>
      <c r="B10" s="22" t="s">
        <v>440</v>
      </c>
      <c r="C10" s="20"/>
    </row>
    <row r="11" spans="1:26" ht="66.75" customHeight="1">
      <c r="A11" s="24">
        <v>3</v>
      </c>
      <c r="B11" s="22" t="s">
        <v>441</v>
      </c>
      <c r="C11" s="20"/>
    </row>
    <row r="12" spans="1:26">
      <c r="A12" s="23"/>
    </row>
    <row r="13" spans="1:26">
      <c r="A13" s="23"/>
    </row>
    <row r="14" spans="1:26">
      <c r="A14" s="23"/>
    </row>
    <row r="15" spans="1:26">
      <c r="A15" s="23"/>
    </row>
    <row r="16" spans="1:2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sheetData>
  <mergeCells count="2">
    <mergeCell ref="A1:C1"/>
    <mergeCell ref="A2:C2"/>
  </mergeCells>
  <pageMargins left="0.7" right="0.7" top="0.75" bottom="0.75" header="0" footer="0"/>
  <pageSetup orientation="landscape"/>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6600"/>
  </sheetPr>
  <dimension ref="A1:F992"/>
  <sheetViews>
    <sheetView workbookViewId="0"/>
  </sheetViews>
  <sheetFormatPr defaultColWidth="11.25" defaultRowHeight="15" customHeight="1"/>
  <cols>
    <col min="1" max="1" width="6.5" customWidth="1"/>
    <col min="2" max="2" width="53.375" customWidth="1"/>
    <col min="3" max="3" width="18.375" customWidth="1"/>
    <col min="4" max="6" width="8.75" customWidth="1"/>
    <col min="7" max="26" width="10" customWidth="1"/>
  </cols>
  <sheetData>
    <row r="1" spans="1:6" ht="62.25" customHeight="1">
      <c r="A1" s="79" t="s">
        <v>425</v>
      </c>
      <c r="B1" s="77"/>
      <c r="C1" s="77"/>
    </row>
    <row r="2" spans="1:6" ht="30.75" customHeight="1">
      <c r="A2" s="80" t="s">
        <v>442</v>
      </c>
      <c r="B2" s="81"/>
      <c r="C2" s="82"/>
      <c r="D2" s="15" t="str">
        <f ca="1">IFERROR(__xludf.DUMMYFUNCTION("GOOGLETRANSLATE(A2,(""auto""),(""es""))"),"05 convertidor")</f>
        <v>05 convertidor</v>
      </c>
      <c r="E2" s="15" t="str">
        <f ca="1">IFERROR(__xludf.DUMMYFUNCTION("GOOGLETRANSLATE(A2,(""auto""),(""FR""))"),"05 Convertisseur")</f>
        <v>05 Convertisseur</v>
      </c>
      <c r="F2" s="15" t="str">
        <f ca="1">IFERROR(__xludf.DUMMYFUNCTION("GOOGLETRANSLATE(A2,(""auto""),(""IT""))"),"05 Convertitore")</f>
        <v>05 Convertitore</v>
      </c>
    </row>
    <row r="3" spans="1:6" ht="30" customHeight="1">
      <c r="A3" s="16" t="s">
        <v>416</v>
      </c>
      <c r="B3" s="17" t="s">
        <v>437</v>
      </c>
      <c r="C3" s="18" t="s">
        <v>147</v>
      </c>
    </row>
    <row r="4" spans="1:6" ht="30" customHeight="1">
      <c r="A4" s="19">
        <v>1</v>
      </c>
      <c r="B4" s="17" t="s">
        <v>417</v>
      </c>
      <c r="C4" s="20"/>
    </row>
    <row r="5" spans="1:6" ht="45" customHeight="1">
      <c r="A5" s="19">
        <v>2</v>
      </c>
      <c r="B5" s="17" t="s">
        <v>418</v>
      </c>
      <c r="C5" s="20"/>
    </row>
    <row r="6" spans="1:6" ht="30" customHeight="1">
      <c r="A6" s="21" t="s">
        <v>420</v>
      </c>
      <c r="B6" s="21" t="s">
        <v>421</v>
      </c>
      <c r="C6" s="18" t="s">
        <v>422</v>
      </c>
    </row>
    <row r="7" spans="1:6" ht="95.25" customHeight="1">
      <c r="A7" s="24">
        <v>1</v>
      </c>
      <c r="B7" s="22" t="s">
        <v>443</v>
      </c>
      <c r="C7" s="20"/>
    </row>
    <row r="8" spans="1:6" ht="66.75" customHeight="1">
      <c r="A8" s="24">
        <v>2</v>
      </c>
      <c r="B8" s="22" t="s">
        <v>444</v>
      </c>
      <c r="C8" s="20"/>
    </row>
    <row r="9" spans="1:6">
      <c r="A9" s="23"/>
    </row>
    <row r="10" spans="1:6">
      <c r="A10" s="23"/>
    </row>
    <row r="11" spans="1:6">
      <c r="A11" s="23"/>
    </row>
    <row r="12" spans="1:6">
      <c r="A12" s="23"/>
    </row>
    <row r="13" spans="1:6" ht="15.75" customHeight="1">
      <c r="A13" s="23"/>
    </row>
    <row r="14" spans="1:6" ht="15.75" customHeight="1">
      <c r="A14" s="23"/>
    </row>
    <row r="15" spans="1:6" ht="15.75" customHeight="1">
      <c r="A15" s="23"/>
    </row>
    <row r="16" spans="1: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sheetData>
  <mergeCells count="2">
    <mergeCell ref="A1:C1"/>
    <mergeCell ref="A2:C2"/>
  </mergeCells>
  <pageMargins left="0.7" right="0.7" top="0.75" bottom="0.75" header="0" footer="0"/>
  <pageSetup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6600"/>
  </sheetPr>
  <dimension ref="A1:F992"/>
  <sheetViews>
    <sheetView workbookViewId="0"/>
  </sheetViews>
  <sheetFormatPr defaultColWidth="11.25" defaultRowHeight="15" customHeight="1"/>
  <cols>
    <col min="1" max="1" width="6.875" customWidth="1"/>
    <col min="2" max="2" width="53.375" customWidth="1"/>
    <col min="3" max="3" width="18.375" customWidth="1"/>
    <col min="4" max="6" width="8.75" customWidth="1"/>
    <col min="7" max="26" width="10" customWidth="1"/>
  </cols>
  <sheetData>
    <row r="1" spans="1:6" ht="61.5" customHeight="1">
      <c r="A1" s="79" t="s">
        <v>425</v>
      </c>
      <c r="B1" s="77"/>
      <c r="C1" s="77"/>
    </row>
    <row r="2" spans="1:6" ht="33.75" customHeight="1">
      <c r="A2" s="80" t="s">
        <v>445</v>
      </c>
      <c r="B2" s="81"/>
      <c r="C2" s="82"/>
      <c r="D2" s="15" t="str">
        <f ca="1">IFERROR(__xludf.DUMMYFUNCTION("GOOGLETRANSLATE(A2,(""auto""),(""es""))"),"06 alarma")</f>
        <v>06 alarma</v>
      </c>
      <c r="E2" s="15" t="str">
        <f ca="1">IFERROR(__xludf.DUMMYFUNCTION("GOOGLETRANSLATE(A2,(""auto""),(""FR""))"),"06 Alarme")</f>
        <v>06 Alarme</v>
      </c>
      <c r="F2" s="15" t="str">
        <f ca="1">IFERROR(__xludf.DUMMYFUNCTION("GOOGLETRANSLATE(A2,(""auto""),(""IT""))"),"06 Allarme")</f>
        <v>06 Allarme</v>
      </c>
    </row>
    <row r="3" spans="1:6" ht="30" customHeight="1">
      <c r="A3" s="16" t="s">
        <v>416</v>
      </c>
      <c r="B3" s="17" t="s">
        <v>437</v>
      </c>
      <c r="C3" s="18" t="s">
        <v>427</v>
      </c>
    </row>
    <row r="4" spans="1:6" ht="30" customHeight="1">
      <c r="A4" s="19">
        <v>1</v>
      </c>
      <c r="B4" s="17" t="s">
        <v>417</v>
      </c>
      <c r="C4" s="20"/>
    </row>
    <row r="5" spans="1:6" ht="45" customHeight="1">
      <c r="A5" s="19">
        <v>2</v>
      </c>
      <c r="B5" s="17" t="s">
        <v>418</v>
      </c>
      <c r="C5" s="20"/>
    </row>
    <row r="6" spans="1:6" ht="30" customHeight="1">
      <c r="A6" s="21" t="s">
        <v>420</v>
      </c>
      <c r="B6" s="21" t="s">
        <v>421</v>
      </c>
      <c r="C6" s="18" t="s">
        <v>422</v>
      </c>
    </row>
    <row r="7" spans="1:6" ht="66.75" customHeight="1">
      <c r="A7" s="19">
        <v>1</v>
      </c>
      <c r="B7" s="22" t="s">
        <v>446</v>
      </c>
      <c r="C7" s="20"/>
    </row>
    <row r="8" spans="1:6" ht="66.75" customHeight="1">
      <c r="A8" s="19">
        <v>2</v>
      </c>
      <c r="B8" s="22" t="s">
        <v>447</v>
      </c>
      <c r="C8" s="20"/>
    </row>
    <row r="9" spans="1:6">
      <c r="A9" s="23"/>
    </row>
    <row r="10" spans="1:6">
      <c r="A10" s="23"/>
    </row>
    <row r="11" spans="1:6">
      <c r="A11" s="23"/>
    </row>
    <row r="12" spans="1:6">
      <c r="A12" s="23"/>
    </row>
    <row r="13" spans="1:6" ht="15.75" customHeight="1">
      <c r="A13" s="23"/>
    </row>
    <row r="14" spans="1:6" ht="15.75" customHeight="1">
      <c r="A14" s="23"/>
    </row>
    <row r="15" spans="1:6" ht="15.75" customHeight="1">
      <c r="A15" s="23"/>
    </row>
    <row r="16" spans="1: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sheetData>
  <mergeCells count="2">
    <mergeCell ref="A1:C1"/>
    <mergeCell ref="A2:C2"/>
  </mergeCells>
  <pageMargins left="0.7" right="0.7" top="0.75" bottom="0.75" header="0" footer="0"/>
  <pageSetup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Z997"/>
  <sheetViews>
    <sheetView workbookViewId="0"/>
  </sheetViews>
  <sheetFormatPr defaultColWidth="11.25" defaultRowHeight="15" customHeight="1"/>
  <cols>
    <col min="1" max="1" width="5.5" customWidth="1"/>
    <col min="2" max="2" width="53.375" customWidth="1"/>
    <col min="3" max="3" width="18.375" customWidth="1"/>
    <col min="4" max="4" width="20" customWidth="1"/>
    <col min="5" max="5" width="12.125" customWidth="1"/>
    <col min="6" max="6" width="8.75" customWidth="1"/>
    <col min="7" max="26" width="10" customWidth="1"/>
  </cols>
  <sheetData>
    <row r="1" spans="1:26" ht="60.75" customHeight="1">
      <c r="A1" s="79" t="s">
        <v>425</v>
      </c>
      <c r="B1" s="77"/>
      <c r="C1" s="77"/>
    </row>
    <row r="2" spans="1:26" ht="30" customHeight="1">
      <c r="A2" s="80" t="s">
        <v>448</v>
      </c>
      <c r="B2" s="81"/>
      <c r="C2" s="82"/>
      <c r="D2" s="15" t="str">
        <f ca="1">IFERROR(__xludf.DUMMYFUNCTION("GOOGLETRANSLATE(A2,(""auto""),(""es""))"),"07 bocina")</f>
        <v>07 bocina</v>
      </c>
      <c r="E2" s="15" t="str">
        <f ca="1">IFERROR(__xludf.DUMMYFUNCTION("GOOGLETRANSLATE(A2,(""auto""),(""FR""))"),"07 corne")</f>
        <v>07 corne</v>
      </c>
      <c r="F2" s="15" t="str">
        <f ca="1">IFERROR(__xludf.DUMMYFUNCTION("GOOGLETRANSLATE(A2,(""auto""),(""IT""))"),"07 Horn")</f>
        <v>07 Horn</v>
      </c>
      <c r="G2" s="9"/>
      <c r="H2" s="9"/>
      <c r="I2" s="9"/>
      <c r="J2" s="9"/>
      <c r="K2" s="9"/>
      <c r="L2" s="9"/>
      <c r="M2" s="9"/>
      <c r="N2" s="9"/>
      <c r="O2" s="9"/>
      <c r="P2" s="9"/>
      <c r="Q2" s="9"/>
      <c r="R2" s="9"/>
      <c r="S2" s="9"/>
      <c r="T2" s="9"/>
      <c r="U2" s="9"/>
      <c r="V2" s="9"/>
      <c r="W2" s="9"/>
      <c r="X2" s="9"/>
      <c r="Y2" s="9"/>
      <c r="Z2" s="9"/>
    </row>
    <row r="3" spans="1:26" ht="30" customHeight="1">
      <c r="A3" s="16" t="s">
        <v>416</v>
      </c>
      <c r="B3" s="17" t="s">
        <v>437</v>
      </c>
      <c r="C3" s="18" t="s">
        <v>427</v>
      </c>
    </row>
    <row r="4" spans="1:26" ht="30" customHeight="1">
      <c r="A4" s="19">
        <v>1</v>
      </c>
      <c r="B4" s="17" t="s">
        <v>417</v>
      </c>
      <c r="C4" s="20"/>
    </row>
    <row r="5" spans="1:26" ht="45" customHeight="1">
      <c r="A5" s="19">
        <v>2</v>
      </c>
      <c r="B5" s="17" t="s">
        <v>418</v>
      </c>
      <c r="C5" s="20"/>
    </row>
    <row r="6" spans="1:26">
      <c r="A6" s="19"/>
      <c r="B6" s="15"/>
      <c r="C6" s="20"/>
    </row>
    <row r="7" spans="1:26">
      <c r="A7" s="19"/>
      <c r="B7" s="15"/>
      <c r="C7" s="20"/>
    </row>
    <row r="8" spans="1:26">
      <c r="A8" s="19"/>
      <c r="B8" s="15"/>
      <c r="C8" s="20"/>
    </row>
    <row r="9" spans="1:26">
      <c r="A9" s="19"/>
      <c r="B9" s="15"/>
      <c r="C9" s="20"/>
    </row>
    <row r="10" spans="1:26" ht="45" customHeight="1">
      <c r="A10" s="21" t="s">
        <v>420</v>
      </c>
      <c r="B10" s="21" t="s">
        <v>421</v>
      </c>
      <c r="C10" s="18" t="s">
        <v>422</v>
      </c>
    </row>
    <row r="11" spans="1:26" ht="90.75" customHeight="1">
      <c r="A11" s="24">
        <v>1</v>
      </c>
      <c r="B11" s="22" t="s">
        <v>179</v>
      </c>
      <c r="C11" s="20"/>
    </row>
    <row r="12" spans="1:26" ht="66.75" customHeight="1">
      <c r="A12" s="24">
        <v>2</v>
      </c>
      <c r="B12" s="22" t="s">
        <v>180</v>
      </c>
      <c r="C12" s="20"/>
    </row>
    <row r="13" spans="1:26">
      <c r="A13" s="23"/>
    </row>
    <row r="14" spans="1:26">
      <c r="A14" s="23"/>
    </row>
    <row r="15" spans="1:26">
      <c r="A15" s="23"/>
    </row>
    <row r="16" spans="1:26">
      <c r="A16" s="23"/>
    </row>
    <row r="17" spans="1: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sheetData>
  <mergeCells count="2">
    <mergeCell ref="A1:C1"/>
    <mergeCell ref="A2:C2"/>
  </mergeCells>
  <pageMargins left="0.7" right="0.7" top="0.75" bottom="0.75" header="0" footer="0"/>
  <pageSetup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Z997"/>
  <sheetViews>
    <sheetView workbookViewId="0"/>
  </sheetViews>
  <sheetFormatPr defaultColWidth="11.25" defaultRowHeight="15" customHeight="1"/>
  <cols>
    <col min="1" max="1" width="6.5" customWidth="1"/>
    <col min="2" max="2" width="53.375" customWidth="1"/>
    <col min="3" max="3" width="18.375" customWidth="1"/>
    <col min="4" max="4" width="20" customWidth="1"/>
    <col min="5" max="5" width="12.125" customWidth="1"/>
    <col min="6" max="6" width="8.75" customWidth="1"/>
    <col min="7" max="26" width="10" customWidth="1"/>
  </cols>
  <sheetData>
    <row r="1" spans="1:26" ht="53.25" customHeight="1">
      <c r="A1" s="79" t="s">
        <v>425</v>
      </c>
      <c r="B1" s="77"/>
      <c r="C1" s="77"/>
    </row>
    <row r="2" spans="1:26" ht="39.75" customHeight="1">
      <c r="A2" s="80" t="s">
        <v>449</v>
      </c>
      <c r="B2" s="81"/>
      <c r="C2" s="82"/>
      <c r="D2" s="15" t="str">
        <f ca="1">IFERROR(__xludf.DUMMYFUNCTION("GOOGLETRANSLATE(A2,(""auto""),(""es""))"),"08 FLASHER")</f>
        <v>08 FLASHER</v>
      </c>
      <c r="E2" s="15" t="str">
        <f ca="1">IFERROR(__xludf.DUMMYFUNCTION("GOOGLETRANSLATE(A2,(""auto""),(""FR""))"),"08 Flasher")</f>
        <v>08 Flasher</v>
      </c>
      <c r="F2" s="15" t="str">
        <f ca="1">IFERROR(__xludf.DUMMYFUNCTION("GOOGLETRANSLATE(A2,(""auto""),(""IT""))"),"08 lampeggiatore")</f>
        <v>08 lampeggiatore</v>
      </c>
      <c r="G2" s="12"/>
      <c r="H2" s="12"/>
      <c r="I2" s="12"/>
      <c r="J2" s="12"/>
      <c r="K2" s="12"/>
      <c r="L2" s="12"/>
      <c r="M2" s="12"/>
      <c r="N2" s="12"/>
      <c r="O2" s="12"/>
      <c r="P2" s="12"/>
      <c r="Q2" s="12"/>
      <c r="R2" s="12"/>
      <c r="S2" s="12"/>
      <c r="T2" s="12"/>
      <c r="U2" s="12"/>
      <c r="V2" s="12"/>
      <c r="W2" s="12"/>
      <c r="X2" s="12"/>
      <c r="Y2" s="12"/>
      <c r="Z2" s="12"/>
    </row>
    <row r="3" spans="1:26" ht="30" customHeight="1">
      <c r="A3" s="16" t="s">
        <v>416</v>
      </c>
      <c r="B3" s="17" t="s">
        <v>146</v>
      </c>
      <c r="C3" s="18" t="s">
        <v>427</v>
      </c>
    </row>
    <row r="4" spans="1:26" ht="30" customHeight="1">
      <c r="A4" s="19">
        <v>1</v>
      </c>
      <c r="B4" s="17" t="s">
        <v>428</v>
      </c>
      <c r="C4" s="20"/>
    </row>
    <row r="5" spans="1:26" ht="45" customHeight="1">
      <c r="A5" s="19">
        <v>2</v>
      </c>
      <c r="B5" s="17" t="s">
        <v>418</v>
      </c>
      <c r="C5" s="20"/>
    </row>
    <row r="6" spans="1:26">
      <c r="A6" s="19"/>
      <c r="B6" s="15"/>
      <c r="C6" s="20"/>
    </row>
    <row r="7" spans="1:26">
      <c r="A7" s="19"/>
      <c r="B7" s="15"/>
      <c r="C7" s="20"/>
    </row>
    <row r="8" spans="1:26">
      <c r="A8" s="19"/>
      <c r="B8" s="15"/>
      <c r="C8" s="20"/>
    </row>
    <row r="9" spans="1:26">
      <c r="A9" s="19"/>
      <c r="B9" s="15"/>
      <c r="C9" s="20"/>
    </row>
    <row r="10" spans="1:26" ht="30" customHeight="1">
      <c r="A10" s="21" t="s">
        <v>150</v>
      </c>
      <c r="B10" s="21" t="s">
        <v>421</v>
      </c>
      <c r="C10" s="18" t="s">
        <v>422</v>
      </c>
    </row>
    <row r="11" spans="1:26" ht="66.75" customHeight="1">
      <c r="A11" s="24">
        <v>1</v>
      </c>
      <c r="B11" s="22" t="s">
        <v>182</v>
      </c>
      <c r="C11" s="20"/>
    </row>
    <row r="12" spans="1:26" ht="82.5" customHeight="1">
      <c r="A12" s="24">
        <v>2</v>
      </c>
      <c r="B12" s="22" t="s">
        <v>183</v>
      </c>
      <c r="C12" s="20"/>
    </row>
    <row r="13" spans="1:26">
      <c r="A13" s="23"/>
    </row>
    <row r="14" spans="1:26">
      <c r="A14" s="23"/>
    </row>
    <row r="15" spans="1:26">
      <c r="A15" s="23"/>
    </row>
    <row r="16" spans="1:26">
      <c r="A16" s="23"/>
    </row>
    <row r="17" spans="1: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sheetData>
  <mergeCells count="2">
    <mergeCell ref="A1:C1"/>
    <mergeCell ref="A2:C2"/>
  </mergeCells>
  <pageMargins left="0.7" right="0.7" top="0.75" bottom="0.75" header="0" footer="0"/>
  <pageSetup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Z993"/>
  <sheetViews>
    <sheetView workbookViewId="0"/>
  </sheetViews>
  <sheetFormatPr defaultColWidth="11.25" defaultRowHeight="15" customHeight="1"/>
  <cols>
    <col min="1" max="1" width="7.125" customWidth="1"/>
    <col min="2" max="2" width="53.375" customWidth="1"/>
    <col min="3" max="3" width="18.375" customWidth="1"/>
    <col min="4" max="4" width="20" customWidth="1"/>
    <col min="5" max="5" width="12.125" customWidth="1"/>
    <col min="6" max="6" width="8.75" customWidth="1"/>
    <col min="7" max="26" width="10" customWidth="1"/>
  </cols>
  <sheetData>
    <row r="1" spans="1:26" ht="53.25" customHeight="1">
      <c r="A1" s="79" t="s">
        <v>425</v>
      </c>
      <c r="B1" s="77"/>
      <c r="C1" s="77"/>
    </row>
    <row r="2" spans="1:26" ht="30.75" customHeight="1">
      <c r="A2" s="80" t="s">
        <v>450</v>
      </c>
      <c r="B2" s="81"/>
      <c r="C2" s="82"/>
      <c r="D2" s="15" t="str">
        <f ca="1">IFERROR(__xludf.DUMMYFUNCTION("GOOGLETRANSLATE(A2,(""auto""),(""es""))"),"9 batería")</f>
        <v>9 batería</v>
      </c>
      <c r="E2" s="15" t="str">
        <f ca="1">IFERROR(__xludf.DUMMYFUNCTION("GOOGLETRANSLATE(A2,(""auto""),(""FR""))"),"9 batterie")</f>
        <v>9 batterie</v>
      </c>
      <c r="F2" s="15" t="str">
        <f ca="1">IFERROR(__xludf.DUMMYFUNCTION("GOOGLETRANSLATE(A2,(""auto""),(""IT""))"),"9 batteria")</f>
        <v>9 batteria</v>
      </c>
      <c r="G2" s="12"/>
      <c r="H2" s="12"/>
      <c r="I2" s="12"/>
      <c r="J2" s="12"/>
      <c r="K2" s="12"/>
      <c r="L2" s="12"/>
      <c r="M2" s="12"/>
      <c r="N2" s="12"/>
      <c r="O2" s="12"/>
      <c r="P2" s="12"/>
      <c r="Q2" s="12"/>
      <c r="R2" s="12"/>
      <c r="S2" s="12"/>
      <c r="T2" s="12"/>
      <c r="U2" s="12"/>
      <c r="V2" s="12"/>
      <c r="W2" s="12"/>
      <c r="X2" s="12"/>
      <c r="Y2" s="12"/>
      <c r="Z2" s="12"/>
    </row>
    <row r="3" spans="1:26" ht="30" customHeight="1">
      <c r="A3" s="16" t="s">
        <v>416</v>
      </c>
      <c r="B3" s="17" t="s">
        <v>437</v>
      </c>
      <c r="C3" s="18" t="s">
        <v>147</v>
      </c>
    </row>
    <row r="4" spans="1:26" ht="45" customHeight="1">
      <c r="A4" s="19">
        <v>1</v>
      </c>
      <c r="B4" s="17" t="s">
        <v>451</v>
      </c>
      <c r="C4" s="20"/>
    </row>
    <row r="5" spans="1:26" ht="30" customHeight="1">
      <c r="A5" s="21" t="s">
        <v>420</v>
      </c>
      <c r="B5" s="21" t="s">
        <v>421</v>
      </c>
      <c r="C5" s="18" t="s">
        <v>422</v>
      </c>
    </row>
    <row r="6" spans="1:26" ht="66.75" customHeight="1">
      <c r="A6" s="24">
        <v>1</v>
      </c>
      <c r="B6" s="22" t="s">
        <v>186</v>
      </c>
      <c r="C6" s="20"/>
    </row>
    <row r="7" spans="1:26" ht="66.75" customHeight="1">
      <c r="A7" s="24">
        <v>2</v>
      </c>
      <c r="B7" s="22" t="s">
        <v>187</v>
      </c>
      <c r="C7" s="20"/>
    </row>
    <row r="8" spans="1:26" ht="66.75" customHeight="1">
      <c r="A8" s="24">
        <v>3</v>
      </c>
      <c r="B8" s="22" t="s">
        <v>188</v>
      </c>
      <c r="C8" s="20"/>
    </row>
    <row r="9" spans="1:26">
      <c r="A9" s="23"/>
    </row>
    <row r="10" spans="1:26">
      <c r="A10" s="23"/>
    </row>
    <row r="11" spans="1:26">
      <c r="A11" s="23"/>
    </row>
    <row r="12" spans="1:26">
      <c r="A12" s="23"/>
    </row>
    <row r="13" spans="1:26">
      <c r="A13" s="23"/>
    </row>
    <row r="14" spans="1:26" ht="15.75" customHeight="1">
      <c r="A14" s="23"/>
    </row>
    <row r="15" spans="1:26" ht="15.75" customHeight="1">
      <c r="A15" s="23"/>
    </row>
    <row r="16" spans="1:2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Z993"/>
  <sheetViews>
    <sheetView workbookViewId="0"/>
  </sheetViews>
  <sheetFormatPr defaultColWidth="11.25" defaultRowHeight="15" customHeight="1"/>
  <cols>
    <col min="1" max="1" width="6.625" customWidth="1"/>
    <col min="2" max="2" width="53.375" customWidth="1"/>
    <col min="3" max="3" width="18.375" customWidth="1"/>
    <col min="4" max="4" width="20" customWidth="1"/>
    <col min="5" max="5" width="12.125" customWidth="1"/>
    <col min="6" max="6" width="8.75" customWidth="1"/>
    <col min="7" max="26" width="10" customWidth="1"/>
  </cols>
  <sheetData>
    <row r="1" spans="1:26" ht="49.5" customHeight="1">
      <c r="A1" s="79" t="s">
        <v>425</v>
      </c>
      <c r="B1" s="77"/>
      <c r="C1" s="77"/>
    </row>
    <row r="2" spans="1:26" ht="30.75" customHeight="1">
      <c r="A2" s="80" t="s">
        <v>452</v>
      </c>
      <c r="B2" s="81"/>
      <c r="C2" s="82"/>
      <c r="D2" s="15" t="str">
        <f ca="1">IFERROR(__xludf.DUMMYFUNCTION("GOOGLETRANSLATE(A2,(""auto""),(""es""))"),"10 controlador")</f>
        <v>10 controlador</v>
      </c>
      <c r="E2" s="15" t="str">
        <f ca="1">IFERROR(__xludf.DUMMYFUNCTION("GOOGLETRANSLATE(A2,(""auto""),(""FR""))"),"10 contrôleur")</f>
        <v>10 contrôleur</v>
      </c>
      <c r="F2" s="15" t="str">
        <f ca="1">IFERROR(__xludf.DUMMYFUNCTION("GOOGLETRANSLATE(A2,(""auto""),(""IT""))"),"10 controller")</f>
        <v>10 controller</v>
      </c>
      <c r="G2" s="9"/>
      <c r="H2" s="9"/>
      <c r="I2" s="9"/>
      <c r="J2" s="9"/>
      <c r="K2" s="9"/>
      <c r="L2" s="9"/>
      <c r="M2" s="9"/>
      <c r="N2" s="9"/>
      <c r="O2" s="9"/>
      <c r="P2" s="9"/>
      <c r="Q2" s="9"/>
      <c r="R2" s="9"/>
      <c r="S2" s="9"/>
      <c r="T2" s="9"/>
      <c r="U2" s="9"/>
      <c r="V2" s="9"/>
      <c r="W2" s="9"/>
      <c r="X2" s="9"/>
      <c r="Y2" s="9"/>
      <c r="Z2" s="9"/>
    </row>
    <row r="3" spans="1:26" ht="30" customHeight="1">
      <c r="A3" s="16" t="s">
        <v>416</v>
      </c>
      <c r="B3" s="17" t="s">
        <v>437</v>
      </c>
      <c r="C3" s="18" t="s">
        <v>427</v>
      </c>
    </row>
    <row r="4" spans="1:26" ht="45" customHeight="1">
      <c r="A4" s="19">
        <v>1</v>
      </c>
      <c r="B4" s="17" t="s">
        <v>453</v>
      </c>
      <c r="C4" s="20"/>
    </row>
    <row r="5" spans="1:26" ht="30" customHeight="1">
      <c r="A5" s="19">
        <v>2</v>
      </c>
      <c r="B5" s="17" t="s">
        <v>454</v>
      </c>
      <c r="C5" s="20"/>
    </row>
    <row r="6" spans="1:26" ht="30" customHeight="1">
      <c r="A6" s="21" t="s">
        <v>420</v>
      </c>
      <c r="B6" s="21" t="s">
        <v>151</v>
      </c>
      <c r="C6" s="18" t="s">
        <v>422</v>
      </c>
    </row>
    <row r="7" spans="1:26" ht="66.75" customHeight="1">
      <c r="A7" s="24">
        <v>1</v>
      </c>
      <c r="B7" s="25" t="s">
        <v>192</v>
      </c>
      <c r="C7" s="15"/>
    </row>
    <row r="8" spans="1:26" ht="66.75" customHeight="1">
      <c r="A8" s="24">
        <v>2</v>
      </c>
      <c r="B8" s="25" t="s">
        <v>193</v>
      </c>
      <c r="C8" s="15"/>
    </row>
    <row r="9" spans="1:26" ht="66.75" customHeight="1">
      <c r="A9" s="24">
        <v>3</v>
      </c>
      <c r="B9" s="25" t="s">
        <v>194</v>
      </c>
      <c r="C9" s="15"/>
    </row>
    <row r="10" spans="1:26">
      <c r="A10" s="23"/>
    </row>
    <row r="11" spans="1:26">
      <c r="A11" s="23"/>
    </row>
    <row r="12" spans="1:26">
      <c r="A12" s="23"/>
    </row>
    <row r="13" spans="1:26">
      <c r="A13" s="23"/>
    </row>
    <row r="14" spans="1:26" ht="15.75" customHeight="1">
      <c r="A14" s="23"/>
    </row>
    <row r="15" spans="1:26" ht="15.75" customHeight="1">
      <c r="A15" s="23"/>
    </row>
    <row r="16" spans="1:2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F1000"/>
  <sheetViews>
    <sheetView workbookViewId="0"/>
  </sheetViews>
  <sheetFormatPr defaultColWidth="11.25" defaultRowHeight="15" customHeight="1"/>
  <cols>
    <col min="1" max="1" width="6.5" customWidth="1"/>
    <col min="2" max="2" width="53.375" customWidth="1"/>
    <col min="3" max="3" width="18.375" customWidth="1"/>
    <col min="4" max="4" width="20" customWidth="1"/>
    <col min="5" max="5" width="12.125" customWidth="1"/>
    <col min="6" max="6" width="8.75" customWidth="1"/>
    <col min="7" max="26" width="10" customWidth="1"/>
  </cols>
  <sheetData>
    <row r="1" spans="1:6" ht="51.75" customHeight="1">
      <c r="A1" s="79" t="s">
        <v>425</v>
      </c>
      <c r="B1" s="77"/>
      <c r="C1" s="77"/>
    </row>
    <row r="2" spans="1:6" ht="33.75" customHeight="1">
      <c r="A2" s="80" t="s">
        <v>455</v>
      </c>
      <c r="B2" s="81"/>
      <c r="C2" s="82"/>
      <c r="D2" s="15" t="str">
        <f ca="1">IFERROR(__xludf.DUMMYFUNCTION("GOOGLETRANSLATE(A2,(""auto""),(""es""))"),"11 motor")</f>
        <v>11 motor</v>
      </c>
      <c r="E2" s="15" t="str">
        <f ca="1">IFERROR(__xludf.DUMMYFUNCTION("GOOGLETRANSLATE(A2,(""auto""),(""FR""))"),"11 moteur")</f>
        <v>11 moteur</v>
      </c>
      <c r="F2" s="15" t="str">
        <f ca="1">IFERROR(__xludf.DUMMYFUNCTION("GOOGLETRANSLATE(A2,(""auto""),(""IT""))"),"11 motore")</f>
        <v>11 motore</v>
      </c>
    </row>
    <row r="3" spans="1:6" ht="30" customHeight="1">
      <c r="A3" s="16" t="s">
        <v>416</v>
      </c>
      <c r="B3" s="17" t="s">
        <v>437</v>
      </c>
      <c r="C3" s="18" t="s">
        <v>427</v>
      </c>
    </row>
    <row r="4" spans="1:6" ht="45" customHeight="1">
      <c r="A4" s="19">
        <v>1</v>
      </c>
      <c r="B4" s="17" t="s">
        <v>453</v>
      </c>
      <c r="C4" s="20"/>
    </row>
    <row r="5" spans="1:6" ht="30" customHeight="1">
      <c r="A5" s="19">
        <v>2</v>
      </c>
      <c r="B5" s="17" t="s">
        <v>454</v>
      </c>
      <c r="C5" s="20"/>
    </row>
    <row r="6" spans="1:6">
      <c r="A6" s="19"/>
      <c r="B6" s="15"/>
      <c r="C6" s="20"/>
    </row>
    <row r="7" spans="1:6">
      <c r="A7" s="19"/>
      <c r="B7" s="15"/>
      <c r="C7" s="20"/>
    </row>
    <row r="8" spans="1:6">
      <c r="A8" s="19"/>
      <c r="B8" s="15"/>
      <c r="C8" s="20"/>
    </row>
    <row r="9" spans="1:6">
      <c r="A9" s="19"/>
      <c r="B9" s="15"/>
      <c r="C9" s="20"/>
    </row>
    <row r="10" spans="1:6">
      <c r="A10" s="19"/>
      <c r="B10" s="15"/>
      <c r="C10" s="20"/>
    </row>
    <row r="11" spans="1:6" ht="30" customHeight="1">
      <c r="A11" s="21" t="s">
        <v>150</v>
      </c>
      <c r="B11" s="21" t="s">
        <v>421</v>
      </c>
      <c r="C11" s="18" t="s">
        <v>422</v>
      </c>
    </row>
    <row r="12" spans="1:6" ht="66.75" customHeight="1">
      <c r="A12" s="19">
        <v>1</v>
      </c>
      <c r="B12" s="25" t="s">
        <v>196</v>
      </c>
      <c r="C12" s="20"/>
    </row>
    <row r="13" spans="1:6" ht="66.75" customHeight="1">
      <c r="A13" s="19">
        <v>2</v>
      </c>
      <c r="B13" s="25" t="s">
        <v>197</v>
      </c>
      <c r="C13" s="20"/>
    </row>
    <row r="14" spans="1:6" ht="66.75" customHeight="1">
      <c r="A14" s="19">
        <v>3</v>
      </c>
      <c r="B14" s="25" t="s">
        <v>194</v>
      </c>
      <c r="C14" s="20"/>
    </row>
    <row r="15" spans="1:6" ht="66.75" customHeight="1">
      <c r="A15" s="19">
        <v>4</v>
      </c>
      <c r="B15" s="25" t="s">
        <v>198</v>
      </c>
      <c r="C15" s="20"/>
    </row>
    <row r="16" spans="1:6" ht="66.75" customHeight="1">
      <c r="A16" s="19">
        <v>5</v>
      </c>
      <c r="B16" s="25" t="s">
        <v>199</v>
      </c>
      <c r="C16" s="20"/>
    </row>
    <row r="17" spans="1:3" ht="39" customHeight="1">
      <c r="A17" s="19">
        <v>6</v>
      </c>
      <c r="B17" s="25" t="s">
        <v>200</v>
      </c>
      <c r="C17" s="20"/>
    </row>
    <row r="18" spans="1:3" ht="66.75" customHeight="1">
      <c r="A18" s="26">
        <v>7</v>
      </c>
      <c r="B18" s="27" t="s">
        <v>201</v>
      </c>
      <c r="C18" s="28"/>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F997"/>
  <sheetViews>
    <sheetView workbookViewId="0"/>
  </sheetViews>
  <sheetFormatPr defaultColWidth="11.25" defaultRowHeight="15" customHeight="1"/>
  <cols>
    <col min="1" max="1" width="7.5" customWidth="1"/>
    <col min="2" max="2" width="53.375" customWidth="1"/>
    <col min="3" max="3" width="18.375" customWidth="1"/>
    <col min="4" max="4" width="20" customWidth="1"/>
    <col min="5" max="5" width="12.125" customWidth="1"/>
    <col min="6" max="6" width="8.75" customWidth="1"/>
    <col min="7" max="26" width="10" customWidth="1"/>
  </cols>
  <sheetData>
    <row r="1" spans="1:6" ht="53.25" customHeight="1">
      <c r="A1" s="79" t="s">
        <v>425</v>
      </c>
      <c r="B1" s="77"/>
      <c r="C1" s="77"/>
    </row>
    <row r="2" spans="1:6" ht="30.75" customHeight="1">
      <c r="A2" s="80" t="s">
        <v>456</v>
      </c>
      <c r="B2" s="81"/>
      <c r="C2" s="82"/>
      <c r="D2" s="15" t="str">
        <f ca="1">IFERROR(__xludf.DUMMYFUNCTION("GOOGLETRANSLATE(A2,(""auto""),(""es""))"),"12 Bloqueo de asiento electrónico")</f>
        <v>12 Bloqueo de asiento electrónico</v>
      </c>
      <c r="E2" s="15" t="str">
        <f ca="1">IFERROR(__xludf.DUMMYFUNCTION("GOOGLETRANSLATE(A2,(""auto""),(""FR""))"),"12 verrouillage de siège électronique")</f>
        <v>12 verrouillage de siège électronique</v>
      </c>
      <c r="F2" s="15" t="str">
        <f ca="1">IFERROR(__xludf.DUMMYFUNCTION("GOOGLETRANSLATE(A2,(""auto""),(""IT""))"),"12 blocco del sedile elettronico")</f>
        <v>12 blocco del sedile elettronico</v>
      </c>
    </row>
    <row r="3" spans="1:6" ht="30" customHeight="1">
      <c r="A3" s="16" t="s">
        <v>416</v>
      </c>
      <c r="B3" s="17" t="s">
        <v>457</v>
      </c>
      <c r="C3" s="18" t="s">
        <v>427</v>
      </c>
    </row>
    <row r="4" spans="1:6" ht="45" customHeight="1">
      <c r="A4" s="19">
        <v>1</v>
      </c>
      <c r="B4" s="17" t="s">
        <v>453</v>
      </c>
      <c r="C4" s="20"/>
    </row>
    <row r="5" spans="1:6" ht="30" customHeight="1">
      <c r="A5" s="19">
        <v>2</v>
      </c>
      <c r="B5" s="17" t="s">
        <v>458</v>
      </c>
      <c r="C5" s="20"/>
    </row>
    <row r="6" spans="1:6">
      <c r="A6" s="19"/>
      <c r="B6" s="15"/>
      <c r="C6" s="20"/>
    </row>
    <row r="7" spans="1:6">
      <c r="A7" s="19"/>
      <c r="B7" s="15"/>
      <c r="C7" s="20"/>
    </row>
    <row r="8" spans="1:6">
      <c r="A8" s="19"/>
      <c r="B8" s="15"/>
      <c r="C8" s="20"/>
    </row>
    <row r="9" spans="1:6">
      <c r="A9" s="19"/>
      <c r="B9" s="15"/>
      <c r="C9" s="20"/>
    </row>
    <row r="10" spans="1:6" ht="30" customHeight="1">
      <c r="A10" s="21" t="s">
        <v>420</v>
      </c>
      <c r="B10" s="21" t="s">
        <v>421</v>
      </c>
      <c r="C10" s="18" t="s">
        <v>422</v>
      </c>
    </row>
    <row r="11" spans="1:6" ht="88.5" customHeight="1">
      <c r="A11" s="24">
        <v>1</v>
      </c>
      <c r="B11" s="21" t="s">
        <v>203</v>
      </c>
      <c r="C11" s="20"/>
    </row>
    <row r="12" spans="1:6" ht="66.75" customHeight="1">
      <c r="A12" s="24">
        <v>2</v>
      </c>
      <c r="B12" s="22" t="s">
        <v>204</v>
      </c>
      <c r="C12" s="20"/>
    </row>
    <row r="13" spans="1:6" ht="66.75" customHeight="1">
      <c r="A13" s="24">
        <v>2</v>
      </c>
      <c r="B13" s="22" t="s">
        <v>205</v>
      </c>
      <c r="C13" s="20"/>
    </row>
    <row r="14" spans="1:6">
      <c r="A14" s="23"/>
    </row>
    <row r="15" spans="1:6">
      <c r="A15" s="23"/>
    </row>
    <row r="16" spans="1:6">
      <c r="A16" s="23"/>
    </row>
    <row r="17" spans="1: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sheetData>
  <mergeCells count="2">
    <mergeCell ref="A1:C1"/>
    <mergeCell ref="A2:C2"/>
  </mergeCells>
  <pageMargins left="0.7" right="0.7" top="0.75" bottom="0.75" header="0" footer="0"/>
  <pageSetup orientation="landscape"/>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F993"/>
  <sheetViews>
    <sheetView workbookViewId="0"/>
  </sheetViews>
  <sheetFormatPr defaultColWidth="11.25" defaultRowHeight="15" customHeight="1"/>
  <cols>
    <col min="1" max="1" width="6.625" customWidth="1"/>
    <col min="2" max="2" width="53.375" customWidth="1"/>
    <col min="3" max="3" width="18.375" customWidth="1"/>
    <col min="4" max="4" width="20" customWidth="1"/>
    <col min="5" max="5" width="12.125" customWidth="1"/>
    <col min="6" max="6" width="8.75" customWidth="1"/>
    <col min="7" max="26" width="10" customWidth="1"/>
  </cols>
  <sheetData>
    <row r="1" spans="1:6" ht="48.75" customHeight="1">
      <c r="A1" s="79" t="s">
        <v>425</v>
      </c>
      <c r="B1" s="77"/>
      <c r="C1" s="77"/>
    </row>
    <row r="2" spans="1:6" ht="48.75" customHeight="1">
      <c r="A2" s="80" t="s">
        <v>459</v>
      </c>
      <c r="B2" s="81"/>
      <c r="C2" s="82"/>
      <c r="D2" s="15" t="str">
        <f ca="1">IFERROR(__xludf.DUMMYFUNCTION("GOOGLETRANSLATE(A2,(""auto""),(""es""))"),"13 protector de circuito")</f>
        <v>13 protector de circuito</v>
      </c>
      <c r="E2" s="15" t="str">
        <f ca="1">IFERROR(__xludf.DUMMYFUNCTION("GOOGLETRANSLATE(A2,(""auto""),(""FR""))"),"13 protecteur de circuit")</f>
        <v>13 protecteur de circuit</v>
      </c>
      <c r="F2" s="15" t="str">
        <f ca="1">IFERROR(__xludf.DUMMYFUNCTION("GOOGLETRANSLATE(A2,(""auto""),(""IT""))"),"13 protezione del circuito")</f>
        <v>13 protezione del circuito</v>
      </c>
    </row>
    <row r="3" spans="1:6" ht="30" customHeight="1">
      <c r="A3" s="16" t="s">
        <v>416</v>
      </c>
      <c r="B3" s="17" t="s">
        <v>457</v>
      </c>
      <c r="C3" s="18" t="s">
        <v>427</v>
      </c>
    </row>
    <row r="4" spans="1:6" ht="45" customHeight="1">
      <c r="A4" s="19">
        <v>1</v>
      </c>
      <c r="B4" s="17" t="s">
        <v>460</v>
      </c>
      <c r="C4" s="20"/>
    </row>
    <row r="5" spans="1:6" ht="30" customHeight="1">
      <c r="A5" s="19">
        <v>2</v>
      </c>
      <c r="B5" s="17" t="s">
        <v>454</v>
      </c>
      <c r="C5" s="20"/>
    </row>
    <row r="6" spans="1:6" ht="30" customHeight="1">
      <c r="A6" s="21" t="s">
        <v>420</v>
      </c>
      <c r="B6" s="21" t="s">
        <v>151</v>
      </c>
      <c r="C6" s="18" t="s">
        <v>422</v>
      </c>
    </row>
    <row r="7" spans="1:6" ht="96.75" customHeight="1">
      <c r="A7" s="24">
        <v>1</v>
      </c>
      <c r="B7" s="22" t="s">
        <v>208</v>
      </c>
      <c r="C7" s="20"/>
    </row>
    <row r="8" spans="1:6" ht="104.25" customHeight="1">
      <c r="A8" s="24">
        <v>2</v>
      </c>
      <c r="B8" s="22" t="s">
        <v>209</v>
      </c>
      <c r="C8" s="20"/>
    </row>
    <row r="9" spans="1:6">
      <c r="A9" s="23"/>
    </row>
    <row r="10" spans="1:6">
      <c r="A10" s="23"/>
    </row>
    <row r="11" spans="1:6">
      <c r="A11" s="23"/>
    </row>
    <row r="12" spans="1:6">
      <c r="A12" s="23"/>
    </row>
    <row r="13" spans="1:6">
      <c r="A13" s="23"/>
    </row>
    <row r="14" spans="1:6" ht="15.75" customHeight="1">
      <c r="A14" s="23"/>
    </row>
    <row r="15" spans="1:6" ht="15.75" customHeight="1">
      <c r="A15" s="23"/>
    </row>
    <row r="16" spans="1: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Z993"/>
  <sheetViews>
    <sheetView workbookViewId="0"/>
  </sheetViews>
  <sheetFormatPr defaultColWidth="11.25" defaultRowHeight="15" customHeight="1"/>
  <cols>
    <col min="1" max="1" width="6.5" customWidth="1"/>
    <col min="2" max="2" width="53.375" customWidth="1"/>
    <col min="3" max="3" width="18.375" customWidth="1"/>
    <col min="4" max="4" width="20" customWidth="1"/>
    <col min="5" max="5" width="12.125" customWidth="1"/>
    <col min="6" max="6" width="8.75" customWidth="1"/>
    <col min="7" max="26" width="10" customWidth="1"/>
  </cols>
  <sheetData>
    <row r="1" spans="1:26" ht="60.75" customHeight="1">
      <c r="A1" s="79" t="s">
        <v>425</v>
      </c>
      <c r="B1" s="77"/>
      <c r="C1" s="77"/>
    </row>
    <row r="2" spans="1:26" ht="30.75" customHeight="1">
      <c r="A2" s="80" t="s">
        <v>461</v>
      </c>
      <c r="B2" s="81"/>
      <c r="C2" s="82"/>
      <c r="D2" s="15" t="str">
        <f ca="1">IFERROR(__xludf.DUMMYFUNCTION("GOOGLETRANSLATE(A2,(""auto""),(""es""))"),"14 Corresponsal delantero")</f>
        <v>14 Corresponsal delantero</v>
      </c>
      <c r="E2" s="15" t="str">
        <f ca="1">IFERROR(__xludf.DUMMYFUNCTION("GOOGLETRANSLATE(A2,(""auto""),(""FR""))"),"14 Winker avant")</f>
        <v>14 Winker avant</v>
      </c>
      <c r="F2" s="15" t="str">
        <f ca="1">IFERROR(__xludf.DUMMYFUNCTION("GOOGLETRANSLATE(A2,(""auto""),(""IT""))"),"14 Winter Winker")</f>
        <v>14 Winter Winker</v>
      </c>
      <c r="G2" s="9"/>
      <c r="H2" s="9"/>
      <c r="I2" s="9"/>
      <c r="J2" s="9"/>
      <c r="K2" s="9"/>
      <c r="L2" s="9"/>
      <c r="M2" s="9"/>
      <c r="N2" s="9"/>
      <c r="O2" s="9"/>
      <c r="P2" s="9"/>
      <c r="Q2" s="9"/>
      <c r="R2" s="9"/>
      <c r="S2" s="9"/>
      <c r="T2" s="9"/>
      <c r="U2" s="9"/>
      <c r="V2" s="9"/>
      <c r="W2" s="9"/>
      <c r="X2" s="9"/>
      <c r="Y2" s="9"/>
      <c r="Z2" s="9"/>
    </row>
    <row r="3" spans="1:26" ht="30" customHeight="1">
      <c r="A3" s="16" t="s">
        <v>416</v>
      </c>
      <c r="B3" s="17" t="s">
        <v>437</v>
      </c>
      <c r="C3" s="18" t="s">
        <v>427</v>
      </c>
    </row>
    <row r="4" spans="1:26" ht="30" customHeight="1">
      <c r="A4" s="19">
        <v>1</v>
      </c>
      <c r="B4" s="17" t="s">
        <v>417</v>
      </c>
      <c r="C4" s="20"/>
    </row>
    <row r="5" spans="1:26" ht="45" customHeight="1">
      <c r="A5" s="19">
        <v>2</v>
      </c>
      <c r="B5" s="17" t="s">
        <v>418</v>
      </c>
      <c r="C5" s="20"/>
    </row>
    <row r="6" spans="1:26" ht="30" customHeight="1">
      <c r="A6" s="21" t="s">
        <v>420</v>
      </c>
      <c r="B6" s="21" t="s">
        <v>421</v>
      </c>
      <c r="C6" s="18" t="s">
        <v>422</v>
      </c>
    </row>
    <row r="7" spans="1:26" ht="89.25" customHeight="1">
      <c r="A7" s="24">
        <v>1</v>
      </c>
      <c r="B7" s="22" t="s">
        <v>212</v>
      </c>
      <c r="C7" s="20"/>
    </row>
    <row r="8" spans="1:26" ht="71.25" customHeight="1">
      <c r="A8" s="24">
        <v>2</v>
      </c>
      <c r="B8" s="22" t="s">
        <v>213</v>
      </c>
      <c r="C8" s="20"/>
    </row>
    <row r="9" spans="1:26">
      <c r="A9" s="23"/>
    </row>
    <row r="10" spans="1:26">
      <c r="A10" s="23"/>
    </row>
    <row r="11" spans="1:26">
      <c r="A11" s="23"/>
    </row>
    <row r="12" spans="1:26">
      <c r="A12" s="23"/>
    </row>
    <row r="13" spans="1:26">
      <c r="A13" s="23"/>
    </row>
    <row r="14" spans="1:26" ht="15.75" customHeight="1">
      <c r="A14" s="23"/>
    </row>
    <row r="15" spans="1:26" ht="15.75" customHeight="1">
      <c r="A15" s="23"/>
    </row>
    <row r="16" spans="1:2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F993"/>
  <sheetViews>
    <sheetView workbookViewId="0"/>
  </sheetViews>
  <sheetFormatPr defaultColWidth="11.25" defaultRowHeight="15" customHeight="1"/>
  <cols>
    <col min="1" max="1" width="6.75" customWidth="1"/>
    <col min="2" max="2" width="53.375" customWidth="1"/>
    <col min="3" max="3" width="18.375" customWidth="1"/>
    <col min="4" max="4" width="20" customWidth="1"/>
    <col min="5" max="5" width="12.125" customWidth="1"/>
    <col min="6" max="6" width="8.75" customWidth="1"/>
    <col min="7" max="26" width="10" customWidth="1"/>
  </cols>
  <sheetData>
    <row r="1" spans="1:6" ht="60" customHeight="1">
      <c r="A1" s="79" t="s">
        <v>425</v>
      </c>
      <c r="B1" s="77"/>
      <c r="C1" s="77"/>
    </row>
    <row r="2" spans="1:6" ht="30.75" customHeight="1">
      <c r="A2" s="80" t="s">
        <v>462</v>
      </c>
      <c r="B2" s="81"/>
      <c r="C2" s="82"/>
      <c r="D2" s="15" t="str">
        <f ca="1">IFERROR(__xludf.DUMMYFUNCTION("GOOGLETRANSLATE(A2,(""auto""),(""es""))"),"15 interfaz USB")</f>
        <v>15 interfaz USB</v>
      </c>
      <c r="E2" s="15" t="str">
        <f ca="1">IFERROR(__xludf.DUMMYFUNCTION("GOOGLETRANSLATE(A2,(""auto""),(""FR""))"),"15 interface USB")</f>
        <v>15 interface USB</v>
      </c>
      <c r="F2" s="15" t="str">
        <f ca="1">IFERROR(__xludf.DUMMYFUNCTION("GOOGLETRANSLATE(A2,(""auto""),(""IT""))"),"15 Interfaccia USB")</f>
        <v>15 Interfaccia USB</v>
      </c>
    </row>
    <row r="3" spans="1:6" ht="30" customHeight="1">
      <c r="A3" s="16" t="s">
        <v>463</v>
      </c>
      <c r="B3" s="17" t="s">
        <v>437</v>
      </c>
      <c r="C3" s="18" t="s">
        <v>427</v>
      </c>
    </row>
    <row r="4" spans="1:6" ht="30" customHeight="1">
      <c r="A4" s="19">
        <v>1</v>
      </c>
      <c r="B4" s="17" t="s">
        <v>417</v>
      </c>
      <c r="C4" s="20"/>
    </row>
    <row r="5" spans="1:6" ht="45" customHeight="1">
      <c r="A5" s="19">
        <v>2</v>
      </c>
      <c r="B5" s="17" t="s">
        <v>418</v>
      </c>
      <c r="C5" s="20"/>
    </row>
    <row r="6" spans="1:6" ht="30" customHeight="1">
      <c r="A6" s="21" t="s">
        <v>150</v>
      </c>
      <c r="B6" s="21" t="s">
        <v>421</v>
      </c>
      <c r="C6" s="18" t="s">
        <v>422</v>
      </c>
    </row>
    <row r="7" spans="1:6" ht="195.75" customHeight="1">
      <c r="A7" s="24">
        <v>1</v>
      </c>
      <c r="B7" s="22" t="s">
        <v>215</v>
      </c>
      <c r="C7" s="20"/>
    </row>
    <row r="8" spans="1:6" ht="66.75" customHeight="1">
      <c r="A8" s="24">
        <v>2</v>
      </c>
      <c r="B8" s="22" t="s">
        <v>216</v>
      </c>
      <c r="C8" s="20"/>
    </row>
    <row r="9" spans="1:6">
      <c r="A9" s="23"/>
    </row>
    <row r="10" spans="1:6">
      <c r="A10" s="23"/>
    </row>
    <row r="11" spans="1:6">
      <c r="A11" s="23"/>
    </row>
    <row r="12" spans="1:6">
      <c r="A12" s="23"/>
    </row>
    <row r="13" spans="1:6">
      <c r="A13" s="23"/>
    </row>
    <row r="14" spans="1:6" ht="15.75" customHeight="1">
      <c r="A14" s="23"/>
    </row>
    <row r="15" spans="1:6" ht="15.75" customHeight="1">
      <c r="A15" s="23"/>
    </row>
    <row r="16" spans="1: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F996"/>
  <sheetViews>
    <sheetView workbookViewId="0"/>
  </sheetViews>
  <sheetFormatPr defaultColWidth="11.25" defaultRowHeight="15" customHeight="1"/>
  <cols>
    <col min="1" max="1" width="6.5" customWidth="1"/>
    <col min="2" max="2" width="53.375" customWidth="1"/>
    <col min="3" max="3" width="18.375" customWidth="1"/>
    <col min="4" max="4" width="20" customWidth="1"/>
    <col min="5" max="5" width="12.125" customWidth="1"/>
    <col min="6" max="6" width="8.75" customWidth="1"/>
    <col min="7" max="26" width="10" customWidth="1"/>
  </cols>
  <sheetData>
    <row r="1" spans="1:6" ht="60.75" customHeight="1">
      <c r="A1" s="79" t="s">
        <v>425</v>
      </c>
      <c r="B1" s="77"/>
      <c r="C1" s="77"/>
    </row>
    <row r="2" spans="1:6" ht="27.75" customHeight="1">
      <c r="A2" s="80" t="s">
        <v>464</v>
      </c>
      <c r="B2" s="81"/>
      <c r="C2" s="82"/>
      <c r="D2" s="15" t="str">
        <f ca="1">IFERROR(__xludf.DUMMYFUNCTION("GOOGLETRANSLATE(A2,(""auto""),(""es""))"),"16 Assy de luz trasera")</f>
        <v>16 Assy de luz trasera</v>
      </c>
      <c r="E2" s="15" t="str">
        <f ca="1">IFERROR(__xludf.DUMMYFUNCTION("GOOGLETRANSLATE(A2,(""auto""),(""FR""))"),"16 Assy de feu arrière")</f>
        <v>16 Assy de feu arrière</v>
      </c>
      <c r="F2" s="15" t="str">
        <f ca="1">IFERROR(__xludf.DUMMYFUNCTION("GOOGLETRANSLATE(A2,(""auto""),(""IT""))"),"16 Coakight Assy")</f>
        <v>16 Coakight Assy</v>
      </c>
    </row>
    <row r="3" spans="1:6" ht="30" customHeight="1">
      <c r="A3" s="16" t="s">
        <v>463</v>
      </c>
      <c r="B3" s="17" t="s">
        <v>437</v>
      </c>
      <c r="C3" s="18" t="s">
        <v>427</v>
      </c>
    </row>
    <row r="4" spans="1:6" ht="30" customHeight="1">
      <c r="A4" s="19">
        <v>1</v>
      </c>
      <c r="B4" s="17" t="s">
        <v>465</v>
      </c>
      <c r="C4" s="20"/>
    </row>
    <row r="5" spans="1:6" ht="30" customHeight="1">
      <c r="A5" s="19">
        <v>2</v>
      </c>
      <c r="B5" s="17" t="s">
        <v>466</v>
      </c>
      <c r="C5" s="20"/>
    </row>
    <row r="6" spans="1:6" ht="45" customHeight="1">
      <c r="A6" s="19">
        <v>3</v>
      </c>
      <c r="B6" s="17" t="s">
        <v>467</v>
      </c>
      <c r="C6" s="20"/>
    </row>
    <row r="7" spans="1:6" ht="30" customHeight="1">
      <c r="A7" s="21" t="s">
        <v>420</v>
      </c>
      <c r="B7" s="21" t="s">
        <v>421</v>
      </c>
      <c r="C7" s="18" t="s">
        <v>422</v>
      </c>
    </row>
    <row r="8" spans="1:6" ht="89.25" customHeight="1">
      <c r="A8" s="24">
        <v>1</v>
      </c>
      <c r="B8" s="22" t="s">
        <v>222</v>
      </c>
      <c r="C8" s="20"/>
    </row>
    <row r="9" spans="1:6" ht="66.75" customHeight="1">
      <c r="A9" s="24">
        <v>2</v>
      </c>
      <c r="B9" s="22" t="s">
        <v>223</v>
      </c>
      <c r="C9" s="20"/>
    </row>
    <row r="10" spans="1:6" ht="66.75" customHeight="1">
      <c r="A10" s="23"/>
      <c r="B10" s="12"/>
      <c r="C10" s="12"/>
    </row>
    <row r="11" spans="1:6" ht="66.75" customHeight="1">
      <c r="A11" s="23"/>
      <c r="B11" s="12"/>
      <c r="C11" s="12"/>
    </row>
    <row r="12" spans="1:6">
      <c r="A12" s="23"/>
    </row>
    <row r="13" spans="1:6">
      <c r="A13" s="23"/>
    </row>
    <row r="14" spans="1:6">
      <c r="A14" s="23"/>
    </row>
    <row r="15" spans="1:6">
      <c r="A15" s="23"/>
    </row>
    <row r="16" spans="1:6">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sheetData>
  <mergeCells count="2">
    <mergeCell ref="A1:C1"/>
    <mergeCell ref="A2:C2"/>
  </mergeCells>
  <pageMargins left="0.7" right="0.7" top="0.75" bottom="0.75" header="0" footer="0"/>
  <pageSetup orientation="landscape"/>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F997"/>
  <sheetViews>
    <sheetView workbookViewId="0"/>
  </sheetViews>
  <sheetFormatPr defaultColWidth="11.25" defaultRowHeight="15" customHeight="1"/>
  <cols>
    <col min="1" max="1" width="7.5" customWidth="1"/>
    <col min="2" max="2" width="53.375" customWidth="1"/>
    <col min="3" max="3" width="18.375" customWidth="1"/>
    <col min="4" max="4" width="20" customWidth="1"/>
    <col min="5" max="5" width="12.125" customWidth="1"/>
    <col min="6" max="6" width="8.75" customWidth="1"/>
    <col min="7" max="26" width="10" customWidth="1"/>
  </cols>
  <sheetData>
    <row r="1" spans="1:6" ht="79.5" customHeight="1">
      <c r="A1" s="79" t="s">
        <v>425</v>
      </c>
      <c r="B1" s="77"/>
      <c r="C1" s="77"/>
    </row>
    <row r="2" spans="1:6" ht="30" customHeight="1">
      <c r="A2" s="80" t="s">
        <v>468</v>
      </c>
      <c r="B2" s="81"/>
      <c r="C2" s="82"/>
      <c r="D2" s="15" t="str">
        <f ca="1">IFERROR(__xludf.DUMMYFUNCTION("GOOGLETRANSLATE(A2,(""auto""),(""es""))"),"17 Winker trasero")</f>
        <v>17 Winker trasero</v>
      </c>
      <c r="E2" s="15" t="str">
        <f ca="1">IFERROR(__xludf.DUMMYFUNCTION("GOOGLETRANSLATE(A2,(""auto""),(""FR""))"),"17 Winker arrière")</f>
        <v>17 Winker arrière</v>
      </c>
      <c r="F2" s="15" t="str">
        <f ca="1">IFERROR(__xludf.DUMMYFUNCTION("GOOGLETRANSLATE(A2,(""auto""),(""IT""))"),"17 Winker posteriore")</f>
        <v>17 Winker posteriore</v>
      </c>
    </row>
    <row r="3" spans="1:6" ht="30" customHeight="1">
      <c r="A3" s="16" t="s">
        <v>416</v>
      </c>
      <c r="B3" s="17" t="s">
        <v>437</v>
      </c>
      <c r="C3" s="18" t="s">
        <v>427</v>
      </c>
    </row>
    <row r="4" spans="1:6" ht="30" customHeight="1">
      <c r="A4" s="19">
        <v>1</v>
      </c>
      <c r="B4" s="17" t="s">
        <v>465</v>
      </c>
      <c r="C4" s="20"/>
    </row>
    <row r="5" spans="1:6" ht="30" customHeight="1">
      <c r="A5" s="19">
        <v>2</v>
      </c>
      <c r="B5" s="17" t="s">
        <v>466</v>
      </c>
      <c r="C5" s="20"/>
    </row>
    <row r="6" spans="1:6" ht="45" customHeight="1">
      <c r="A6" s="19">
        <v>3</v>
      </c>
      <c r="B6" s="17" t="s">
        <v>467</v>
      </c>
      <c r="C6" s="20"/>
    </row>
    <row r="7" spans="1:6" ht="30" customHeight="1">
      <c r="A7" s="21" t="s">
        <v>150</v>
      </c>
      <c r="B7" s="21" t="s">
        <v>421</v>
      </c>
      <c r="C7" s="18" t="s">
        <v>422</v>
      </c>
    </row>
    <row r="8" spans="1:6" ht="89.25" customHeight="1">
      <c r="A8" s="24">
        <v>1</v>
      </c>
      <c r="B8" s="22" t="s">
        <v>225</v>
      </c>
      <c r="C8" s="20"/>
    </row>
    <row r="9" spans="1:6" ht="66.75" customHeight="1">
      <c r="A9" s="24">
        <v>2</v>
      </c>
      <c r="B9" s="22" t="s">
        <v>226</v>
      </c>
      <c r="C9" s="20"/>
    </row>
    <row r="10" spans="1:6" ht="66.75" customHeight="1">
      <c r="A10" s="23"/>
      <c r="B10" s="12"/>
      <c r="C10" s="12"/>
    </row>
    <row r="11" spans="1:6" ht="66.75" customHeight="1">
      <c r="A11" s="23"/>
      <c r="B11" s="12"/>
      <c r="C11" s="12"/>
    </row>
    <row r="12" spans="1:6" ht="66.75" customHeight="1">
      <c r="A12" s="23"/>
      <c r="B12" s="12"/>
      <c r="C12" s="12"/>
    </row>
    <row r="13" spans="1:6">
      <c r="A13" s="23"/>
    </row>
    <row r="14" spans="1:6">
      <c r="A14" s="23"/>
    </row>
    <row r="15" spans="1:6">
      <c r="A15" s="23"/>
    </row>
    <row r="16" spans="1:6">
      <c r="A16" s="23"/>
    </row>
    <row r="17" spans="1: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sheetData>
  <mergeCells count="2">
    <mergeCell ref="A1:C1"/>
    <mergeCell ref="A2:C2"/>
  </mergeCells>
  <pageMargins left="0.7" right="0.7" top="0.75" bottom="0.75" header="0" footer="0"/>
  <pageSetup orientation="landscape"/>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F1023"/>
  <sheetViews>
    <sheetView workbookViewId="0"/>
  </sheetViews>
  <sheetFormatPr defaultColWidth="11.25" defaultRowHeight="15" customHeight="1"/>
  <cols>
    <col min="1" max="1" width="7.375" customWidth="1"/>
    <col min="2" max="2" width="53.375" customWidth="1"/>
    <col min="3" max="3" width="18.375" customWidth="1"/>
    <col min="4" max="4" width="20" customWidth="1"/>
    <col min="5" max="5" width="12.125" customWidth="1"/>
    <col min="6" max="6" width="8.75" customWidth="1"/>
    <col min="7" max="26" width="10" customWidth="1"/>
  </cols>
  <sheetData>
    <row r="1" spans="1:6" ht="72" customHeight="1">
      <c r="A1" s="79" t="s">
        <v>425</v>
      </c>
      <c r="B1" s="77"/>
      <c r="C1" s="77"/>
    </row>
    <row r="2" spans="1:6" ht="30.75" customHeight="1">
      <c r="A2" s="80" t="s">
        <v>469</v>
      </c>
      <c r="B2" s="81"/>
      <c r="C2" s="82"/>
      <c r="D2" s="15" t="str">
        <f ca="1">IFERROR(__xludf.DUMMYFUNCTION("GOOGLETRANSLATE(A2,(""auto""),(""es""))"),"18 Conjunto de interruptor de soporte lateral")</f>
        <v>18 Conjunto de interruptor de soporte lateral</v>
      </c>
      <c r="E2" s="15" t="str">
        <f ca="1">IFERROR(__xludf.DUMMYFUNCTION("GOOGLETRANSLATE(A2,(""auto""),(""FR""))"),"Interrupteur de support latéral 18")</f>
        <v>Interrupteur de support latéral 18</v>
      </c>
      <c r="F2" s="15" t="str">
        <f ca="1">IFERROR(__xludf.DUMMYFUNCTION("GOOGLETRANSLATE(A2,(""auto""),(""IT""))"),"18 set di interruttore di supporto laterale")</f>
        <v>18 set di interruttore di supporto laterale</v>
      </c>
    </row>
    <row r="3" spans="1:6" ht="30" customHeight="1">
      <c r="A3" s="16" t="s">
        <v>416</v>
      </c>
      <c r="B3" s="17" t="s">
        <v>437</v>
      </c>
      <c r="C3" s="18" t="s">
        <v>427</v>
      </c>
      <c r="D3" s="15" t="str">
        <f ca="1">IFERROR(__xludf.DUMMYFUNCTION("GOOGLETRANSLATE(B3,(""auto""),(""es""))"),"
Preparación:")</f>
        <v xml:space="preserve">
Preparación:</v>
      </c>
      <c r="E3" s="15" t="str">
        <f ca="1">IFERROR(__xludf.DUMMYFUNCTION("GOOGLETRANSLATE(B3,(""auto""),(""FR""))"),"
Préparation:")</f>
        <v xml:space="preserve">
Préparation:</v>
      </c>
      <c r="F3" s="15" t="str">
        <f ca="1">IFERROR(__xludf.DUMMYFUNCTION("GOOGLETRANSLATE(B4,(""auto""),(""IT""))"),"
Rimuovi il cestino anteriore - Vedi il capitolo 2, sezione 0")</f>
        <v xml:space="preserve">
Rimuovi il cestino anteriore - Vedi il capitolo 2, sezione 0</v>
      </c>
    </row>
    <row r="4" spans="1:6" ht="30" customHeight="1">
      <c r="A4" s="19">
        <v>1</v>
      </c>
      <c r="B4" s="17" t="s">
        <v>417</v>
      </c>
      <c r="C4" s="20"/>
      <c r="D4" s="15" t="str">
        <f ca="1">IFERROR(__xludf.DUMMYFUNCTION("GOOGLETRANSLATE(B4,(""auto""),(""es""))"),"
Retire la canasta delantera - consulte el Capítulo 2, Sección 0")</f>
        <v xml:space="preserve">
Retire la canasta delantera - consulte el Capítulo 2, Sección 0</v>
      </c>
      <c r="E4" s="15" t="str">
        <f ca="1">IFERROR(__xludf.DUMMYFUNCTION("GOOGLETRANSLATE(B4,(""auto""),(""FR""))"),"
Retirez le panier avant - voir le chapitre 2, section 0")</f>
        <v xml:space="preserve">
Retirez le panier avant - voir le chapitre 2, section 0</v>
      </c>
      <c r="F4" s="15" t="str">
        <f ca="1">IFERROR(__xludf.DUMMYFUNCTION("GOOGLETRANSLATE(B4,(""auto""),(""IT""))"),"
Rimuovi il cestino anteriore - Vedi il capitolo 2, sezione 0")</f>
        <v xml:space="preserve">
Rimuovi il cestino anteriore - Vedi il capitolo 2, sezione 0</v>
      </c>
    </row>
    <row r="5" spans="1:6" ht="45" customHeight="1">
      <c r="A5" s="19">
        <v>2</v>
      </c>
      <c r="B5" s="17" t="s">
        <v>418</v>
      </c>
      <c r="C5" s="20"/>
      <c r="D5" s="15" t="str">
        <f ca="1">IFERROR(__xludf.DUMMYFUNCTION("GOOGLETRANSLATE(B5,(""auto""),(""es""))"),"
Retire la cubierta frontal ---- Consulte el Capítulo 2, Sección 02")</f>
        <v xml:space="preserve">
Retire la cubierta frontal ---- Consulte el Capítulo 2, Sección 02</v>
      </c>
      <c r="E5" s="15" t="str">
        <f ca="1">IFERROR(__xludf.DUMMYFUNCTION("GOOGLETRANSLATE(B5,(""auto""),(""FR""))"),"
Retirez le couvercle avant ---- Voir chapitre 2, section 02")</f>
        <v xml:space="preserve">
Retirez le couvercle avant ---- Voir chapitre 2, section 02</v>
      </c>
      <c r="F5" s="15" t="str">
        <f ca="1">IFERROR(__xludf.DUMMYFUNCTION("GOOGLETRANSLATE(B5,(""auto""),(""IT""))"),"
Rimuovere il coperchio anteriore ---- Vedi capitolo 2, Sezione 02")</f>
        <v xml:space="preserve">
Rimuovere il coperchio anteriore ---- Vedi capitolo 2, Sezione 02</v>
      </c>
    </row>
    <row r="6" spans="1:6" ht="45" customHeight="1">
      <c r="A6" s="19">
        <v>3</v>
      </c>
      <c r="B6" s="29" t="s">
        <v>470</v>
      </c>
      <c r="C6" s="20"/>
      <c r="D6" s="15" t="str">
        <f ca="1">IFERROR(__xludf.DUMMYFUNCTION("GOOGLETRANSLATE(B6,(""auto""),(""es""))"),"
Retire los escudos frontales izquierdo y derecho: consulte el Capítulo 2, Sección 05")</f>
        <v xml:space="preserve">
Retire los escudos frontales izquierdo y derecho: consulte el Capítulo 2, Sección 05</v>
      </c>
      <c r="E6" s="15" t="str">
        <f ca="1">IFERROR(__xludf.DUMMYFUNCTION("GOOGLETRANSLATE(B6,(""auto""),(""FR""))"),"
Retirez les boucliers avant gauche et droit - voir le chapitre 2, section 05")</f>
        <v xml:space="preserve">
Retirez les boucliers avant gauche et droit - voir le chapitre 2, section 05</v>
      </c>
      <c r="F6" s="15" t="str">
        <f ca="1">IFERROR(__xludf.DUMMYFUNCTION("GOOGLETRANSLATE(B6,(""auto""),(""IT""))"),"
Rimuovere gli scudi frontali sinistra e destra - Vedi Capitolo 2, Sezione 05")</f>
        <v xml:space="preserve">
Rimuovere gli scudi frontali sinistra e destra - Vedi Capitolo 2, Sezione 05</v>
      </c>
    </row>
    <row r="7" spans="1:6" ht="30" customHeight="1">
      <c r="A7" s="19">
        <v>4</v>
      </c>
      <c r="B7" s="17" t="s">
        <v>471</v>
      </c>
      <c r="C7" s="20"/>
      <c r="D7" s="15" t="str">
        <f ca="1">IFERROR(__xludf.DUMMYFUNCTION("GOOGLETRANSLATE(B7,(""auto""),(""es""))"),"
Quite el pedal ------ Vea el segundo capítulo 07")</f>
        <v xml:space="preserve">
Quite el pedal ------ Vea el segundo capítulo 07</v>
      </c>
      <c r="E7" s="15" t="str">
        <f ca="1">IFERROR(__xludf.DUMMYFUNCTION("GOOGLETRANSLATE(B7,(""auto""),(""FR""))"),"
Enlever la pédale ------ Voir le deuxième chapitre 07")</f>
        <v xml:space="preserve">
Enlever la pédale ------ Voir le deuxième chapitre 07</v>
      </c>
      <c r="F7" s="15" t="str">
        <f ca="1">IFERROR(__xludf.DUMMYFUNCTION("GOOGLETRANSLATE(B7,(""auto""),(""IT""))"),"
Togli il pedale ------ Vedi il secondo capitolo 07")</f>
        <v xml:space="preserve">
Togli il pedale ------ Vedi il secondo capitolo 07</v>
      </c>
    </row>
    <row r="8" spans="1:6" ht="45" customHeight="1">
      <c r="A8" s="19">
        <v>5</v>
      </c>
      <c r="B8" s="17" t="s">
        <v>472</v>
      </c>
      <c r="C8" s="20"/>
      <c r="D8" s="15" t="str">
        <f ca="1">IFERROR(__xludf.DUMMYFUNCTION("GOOGLETRANSLATE(B8,(""auto""),(""es""))"),"
Retire la cubierta del compartimento de la batería: consulte el Capítulo 2, Sección 23")</f>
        <v xml:space="preserve">
Retire la cubierta del compartimento de la batería: consulte el Capítulo 2, Sección 23</v>
      </c>
      <c r="E8" s="15" t="str">
        <f ca="1">IFERROR(__xludf.DUMMYFUNCTION("GOOGLETRANSLATE(B8,(""auto""),(""FR""))"),"
Retirez le couvercle du compartiment de la batterie - Voir chapitre 2, section 23")</f>
        <v xml:space="preserve">
Retirez le couvercle du compartiment de la batterie - Voir chapitre 2, section 23</v>
      </c>
      <c r="F8" s="15" t="str">
        <f ca="1">IFERROR(__xludf.DUMMYFUNCTION("GOOGLETRANSLATE(B8,(""auto""),(""IT""))"),"
Rimuovere il coperchio del vano batteria-- Vedi capitolo 2, Sezione 23")</f>
        <v xml:space="preserve">
Rimuovere il coperchio del vano batteria-- Vedi capitolo 2, Sezione 23</v>
      </c>
    </row>
    <row r="9" spans="1:6" ht="30" customHeight="1">
      <c r="A9" s="19">
        <v>6</v>
      </c>
      <c r="B9" s="17" t="s">
        <v>454</v>
      </c>
      <c r="C9" s="20"/>
      <c r="D9" s="15" t="str">
        <f ca="1">IFERROR(__xludf.DUMMYFUNCTION("GOOGLETRANSLATE(B9,(""auto""),(""es""))"),"
Retire el cuadro de equipaje - consulte el Capítulo 2, Sección 24")</f>
        <v xml:space="preserve">
Retire el cuadro de equipaje - consulte el Capítulo 2, Sección 24</v>
      </c>
      <c r="E9" s="15" t="str">
        <f ca="1">IFERROR(__xludf.DUMMYFUNCTION("GOOGLETRANSLATE(B9,(""auto""),(""FR""))"),"
Retirez la boîte à bagages - voir le chapitre 2, section 24")</f>
        <v xml:space="preserve">
Retirez la boîte à bagages - voir le chapitre 2, section 24</v>
      </c>
      <c r="F9" s="15" t="str">
        <f ca="1">IFERROR(__xludf.DUMMYFUNCTION("GOOGLETRANSLATE(B9,(""auto""),(""IT""))"),"
Rimuovere la scatola del bagaglio - Vedi capitolo 2, sezione 24")</f>
        <v xml:space="preserve">
Rimuovere la scatola del bagaglio - Vedi capitolo 2, sezione 24</v>
      </c>
    </row>
    <row r="10" spans="1:6" ht="30" customHeight="1">
      <c r="A10" s="21" t="s">
        <v>420</v>
      </c>
      <c r="B10" s="21" t="s">
        <v>421</v>
      </c>
      <c r="C10" s="18" t="s">
        <v>422</v>
      </c>
      <c r="D10" s="15" t="str">
        <f ca="1">IFERROR(__xludf.DUMMYFUNCTION("GOOGLETRANSLATE(B10,(""auto""),(""es""))"),"
Descripción")</f>
        <v xml:space="preserve">
Descripción</v>
      </c>
      <c r="E10" s="15" t="str">
        <f ca="1">IFERROR(__xludf.DUMMYFUNCTION("GOOGLETRANSLATE(B10,(""auto""),(""FR""))"),"
Description")</f>
        <v xml:space="preserve">
Description</v>
      </c>
      <c r="F10" s="15" t="str">
        <f ca="1">IFERROR(__xludf.DUMMYFUNCTION("GOOGLETRANSLATE(B10,(""auto""),(""IT""))"),"
Descrizione")</f>
        <v xml:space="preserve">
Descrizione</v>
      </c>
    </row>
    <row r="11" spans="1:6" ht="66" customHeight="1">
      <c r="A11" s="24">
        <v>1</v>
      </c>
      <c r="B11" s="22" t="s">
        <v>231</v>
      </c>
      <c r="C11" s="20"/>
      <c r="D11" s="15" t="str">
        <f ca="1">IFERROR(__xludf.DUMMYFUNCTION("GOOGLETRANSLATE(B11,(""auto""),(""es""))"),"
Interruptor de encendido desconectado (izquierda y derecha)")</f>
        <v xml:space="preserve">
Interruptor de encendido desconectado (izquierda y derecha)</v>
      </c>
      <c r="E11" s="15" t="str">
        <f ca="1">IFERROR(__xludf.DUMMYFUNCTION("GOOGLETRANSLATE(B11,(""auto""),(""FR""))"),"
Interrupteur d'alimentation débranchez (à gauche et à droite)")</f>
        <v xml:space="preserve">
Interrupteur d'alimentation débranchez (à gauche et à droite)</v>
      </c>
      <c r="F11" s="15" t="str">
        <f ca="1">IFERROR(__xludf.DUMMYFUNCTION("GOOGLETRANSLATE(B11,(""auto""),(""IT""))"),"
Scolleguono l'interruttore di alimentazione (sinistra e destra)")</f>
        <v xml:space="preserve">
Scolleguono l'interruttore di alimentazione (sinistra e destra)</v>
      </c>
    </row>
    <row r="12" spans="1:6" ht="61.5" customHeight="1">
      <c r="A12" s="24">
        <v>2</v>
      </c>
      <c r="B12" s="22" t="s">
        <v>232</v>
      </c>
      <c r="C12" s="20"/>
      <c r="D12" s="15" t="str">
        <f ca="1">IFERROR(__xludf.DUMMYFUNCTION("GOOGLETRANSLATE(B12,(""auto""),(""es""))"),"
Retire 2 tornillos con un destornillador de Phillips y retire el ajuste del interruptor de soporte lateral.")</f>
        <v xml:space="preserve">
Retire 2 tornillos con un destornillador de Phillips y retire el ajuste del interruptor de soporte lateral.</v>
      </c>
      <c r="E12" s="15" t="str">
        <f ca="1">IFERROR(__xludf.DUMMYFUNCTION("GOOGLETRANSLATE(B12,(""auto""),(""FR""))"),"
Retirez 2 vis avec un tournevis Phillips et retirez l'interrupteur de support latéral.")</f>
        <v xml:space="preserve">
Retirez 2 vis avec un tournevis Phillips et retirez l'interrupteur de support latéral.</v>
      </c>
      <c r="F12" s="15" t="str">
        <f ca="1">IFERROR(__xludf.DUMMYFUNCTION("GOOGLETRANSLATE(B12,(""auto""),(""IT""))"),"
Rimuovere 2 viti con un cacciavite Phillips e rimuovere l'interruttore di supporto laterale.")</f>
        <v xml:space="preserve">
Rimuovere 2 viti con un cacciavite Phillips e rimuovere l'interruttore di supporto laterale.</v>
      </c>
    </row>
    <row r="13" spans="1:6" ht="66.75" customHeight="1">
      <c r="A13" s="23"/>
      <c r="B13" s="12"/>
      <c r="C13" s="12"/>
    </row>
    <row r="14" spans="1:6" ht="66.75" customHeight="1">
      <c r="A14" s="23"/>
      <c r="B14" s="12"/>
      <c r="C14" s="12"/>
    </row>
    <row r="15" spans="1:6" ht="66.75" customHeight="1">
      <c r="A15" s="23"/>
      <c r="B15" s="12"/>
      <c r="C15" s="12"/>
    </row>
    <row r="16" spans="1:6" ht="66.75" customHeight="1">
      <c r="A16" s="23"/>
      <c r="B16" s="12"/>
      <c r="C16" s="12"/>
    </row>
    <row r="17" spans="1:3" ht="66.75" customHeight="1">
      <c r="A17" s="23"/>
      <c r="B17" s="12"/>
      <c r="C17" s="12"/>
    </row>
    <row r="18" spans="1:3" ht="66.75" customHeight="1">
      <c r="A18" s="23"/>
      <c r="B18" s="12"/>
      <c r="C18" s="12"/>
    </row>
    <row r="19" spans="1:3" ht="66.75" customHeight="1">
      <c r="A19" s="23"/>
      <c r="B19" s="12"/>
      <c r="C19" s="12"/>
    </row>
    <row r="20" spans="1:3" ht="66.75" customHeight="1">
      <c r="A20" s="23"/>
      <c r="B20" s="12"/>
      <c r="C20" s="12"/>
    </row>
    <row r="21" spans="1:3" ht="66.75" customHeight="1">
      <c r="A21" s="23"/>
      <c r="B21" s="12"/>
      <c r="C21" s="12"/>
    </row>
    <row r="22" spans="1:3" ht="66.75" customHeight="1">
      <c r="A22" s="23"/>
      <c r="B22" s="12"/>
      <c r="C22" s="12"/>
    </row>
    <row r="23" spans="1:3" ht="66.75" customHeight="1">
      <c r="A23" s="23"/>
      <c r="B23" s="12"/>
      <c r="C23" s="12"/>
    </row>
    <row r="24" spans="1:3" ht="66.75" customHeight="1">
      <c r="A24" s="23"/>
      <c r="B24" s="12"/>
      <c r="C24" s="12"/>
    </row>
    <row r="25" spans="1:3" ht="66.75" customHeight="1">
      <c r="A25" s="23"/>
      <c r="B25" s="12"/>
      <c r="C25" s="12"/>
    </row>
    <row r="26" spans="1:3" ht="66.75" customHeight="1">
      <c r="A26" s="23"/>
      <c r="B26" s="12"/>
      <c r="C26" s="12"/>
    </row>
    <row r="27" spans="1:3" ht="66.75" customHeight="1">
      <c r="A27" s="23"/>
      <c r="B27" s="12"/>
      <c r="C27" s="12"/>
    </row>
    <row r="28" spans="1:3" ht="66.75" customHeight="1">
      <c r="A28" s="23"/>
      <c r="B28" s="12"/>
      <c r="C28" s="12"/>
    </row>
    <row r="29" spans="1:3" ht="66.75" customHeight="1">
      <c r="A29" s="23"/>
      <c r="B29" s="12"/>
      <c r="C29" s="12"/>
    </row>
    <row r="30" spans="1:3" ht="66.75" customHeight="1">
      <c r="A30" s="23"/>
      <c r="B30" s="12"/>
      <c r="C30" s="12"/>
    </row>
    <row r="31" spans="1:3" ht="66.75" customHeight="1">
      <c r="A31" s="23"/>
      <c r="B31" s="12"/>
      <c r="C31" s="12"/>
    </row>
    <row r="32" spans="1:3" ht="66.75" customHeight="1">
      <c r="A32" s="23"/>
      <c r="B32" s="12"/>
      <c r="C32" s="12"/>
    </row>
    <row r="33" spans="1:3" ht="66.75" customHeight="1">
      <c r="A33" s="23"/>
      <c r="B33" s="12"/>
      <c r="C33" s="12"/>
    </row>
    <row r="34" spans="1:3" ht="66.75" customHeight="1">
      <c r="A34" s="23"/>
      <c r="B34" s="12"/>
      <c r="C34" s="12"/>
    </row>
    <row r="35" spans="1:3" ht="66.75" customHeight="1">
      <c r="A35" s="23"/>
      <c r="B35" s="12"/>
      <c r="C35" s="12"/>
    </row>
    <row r="36" spans="1:3" ht="66.75" customHeight="1">
      <c r="A36" s="23"/>
      <c r="B36" s="12"/>
      <c r="C36" s="12"/>
    </row>
    <row r="37" spans="1:3" ht="66.75" customHeight="1">
      <c r="A37" s="23"/>
      <c r="B37" s="12"/>
      <c r="C37" s="12"/>
    </row>
    <row r="38" spans="1:3" ht="66.75" customHeight="1">
      <c r="A38" s="23"/>
      <c r="B38" s="12"/>
      <c r="C38" s="12"/>
    </row>
    <row r="39" spans="1:3">
      <c r="A39" s="23"/>
    </row>
    <row r="40" spans="1:3">
      <c r="A40" s="23"/>
    </row>
    <row r="41" spans="1:3">
      <c r="A41" s="23"/>
    </row>
    <row r="42" spans="1:3">
      <c r="A42" s="23"/>
    </row>
    <row r="43" spans="1:3">
      <c r="A43" s="23"/>
    </row>
    <row r="44" spans="1:3" ht="15.75" customHeight="1">
      <c r="A44" s="23"/>
    </row>
    <row r="45" spans="1:3" ht="15.75" customHeight="1">
      <c r="A45" s="23"/>
    </row>
    <row r="46" spans="1:3" ht="15.75" customHeight="1">
      <c r="A46" s="23"/>
    </row>
    <row r="47" spans="1:3" ht="15.75" customHeight="1">
      <c r="A47" s="23"/>
    </row>
    <row r="48" spans="1:3"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row r="1001" spans="1:1" ht="15.75" customHeight="1">
      <c r="A1001" s="23"/>
    </row>
    <row r="1002" spans="1:1" ht="15.75" customHeight="1">
      <c r="A1002" s="23"/>
    </row>
    <row r="1003" spans="1:1" ht="15.75" customHeight="1">
      <c r="A1003" s="23"/>
    </row>
    <row r="1004" spans="1:1" ht="15.75" customHeight="1">
      <c r="A1004" s="23"/>
    </row>
    <row r="1005" spans="1:1" ht="15.75" customHeight="1">
      <c r="A1005" s="23"/>
    </row>
    <row r="1006" spans="1:1" ht="15.75" customHeight="1">
      <c r="A1006" s="23"/>
    </row>
    <row r="1007" spans="1:1" ht="15.75" customHeight="1">
      <c r="A1007" s="23"/>
    </row>
    <row r="1008" spans="1:1" ht="15.75" customHeight="1">
      <c r="A1008" s="23"/>
    </row>
    <row r="1009" spans="1:1" ht="15.75" customHeight="1">
      <c r="A1009" s="23"/>
    </row>
    <row r="1010" spans="1:1" ht="15.75" customHeight="1">
      <c r="A1010" s="23"/>
    </row>
    <row r="1011" spans="1:1" ht="15.75" customHeight="1">
      <c r="A1011" s="23"/>
    </row>
    <row r="1012" spans="1:1" ht="15.75" customHeight="1">
      <c r="A1012" s="23"/>
    </row>
    <row r="1013" spans="1:1" ht="15.75" customHeight="1">
      <c r="A1013" s="23"/>
    </row>
    <row r="1014" spans="1:1" ht="15.75" customHeight="1">
      <c r="A1014" s="23"/>
    </row>
    <row r="1015" spans="1:1" ht="15.75" customHeight="1">
      <c r="A1015" s="23"/>
    </row>
    <row r="1016" spans="1:1" ht="15.75" customHeight="1">
      <c r="A1016" s="23"/>
    </row>
    <row r="1017" spans="1:1" ht="15.75" customHeight="1">
      <c r="A1017" s="23"/>
    </row>
    <row r="1018" spans="1:1" ht="15.75" customHeight="1">
      <c r="A1018" s="23"/>
    </row>
    <row r="1019" spans="1:1" ht="15.75" customHeight="1">
      <c r="A1019" s="23"/>
    </row>
    <row r="1020" spans="1:1" ht="15.75" customHeight="1">
      <c r="A1020" s="23"/>
    </row>
    <row r="1021" spans="1:1" ht="15.75" customHeight="1">
      <c r="A1021" s="23"/>
    </row>
    <row r="1022" spans="1:1" ht="15.75" customHeight="1">
      <c r="A1022" s="23"/>
    </row>
    <row r="1023" spans="1:1" ht="15.75" customHeight="1">
      <c r="A1023" s="23"/>
    </row>
  </sheetData>
  <mergeCells count="2">
    <mergeCell ref="A1:C1"/>
    <mergeCell ref="A2:C2"/>
  </mergeCells>
  <pageMargins left="0.7" right="0.7" top="0.75" bottom="0.75" header="0" footer="0"/>
  <pageSetup orientation="landscape"/>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F993"/>
  <sheetViews>
    <sheetView workbookViewId="0"/>
  </sheetViews>
  <sheetFormatPr defaultColWidth="11.25" defaultRowHeight="15" customHeight="1"/>
  <cols>
    <col min="1" max="1" width="6.875" customWidth="1"/>
    <col min="2" max="2" width="53.375" customWidth="1"/>
    <col min="3" max="3" width="18.375" customWidth="1"/>
    <col min="4" max="4" width="20" customWidth="1"/>
    <col min="5" max="5" width="12.125" customWidth="1"/>
    <col min="6" max="6" width="8.75" customWidth="1"/>
    <col min="7" max="26" width="10" customWidth="1"/>
  </cols>
  <sheetData>
    <row r="1" spans="1:6" ht="66.75" customHeight="1">
      <c r="A1" s="79" t="s">
        <v>425</v>
      </c>
      <c r="B1" s="77"/>
      <c r="C1" s="77"/>
    </row>
    <row r="2" spans="1:6" ht="25.5" customHeight="1">
      <c r="A2" s="80" t="s">
        <v>473</v>
      </c>
      <c r="B2" s="81"/>
      <c r="C2" s="82"/>
      <c r="D2" s="15" t="str">
        <f ca="1">IFERROR(__xludf.DUMMYFUNCTION("GOOGLETRANSLATE(A2,(""auto""),(""es""))"),"19 Caqueteo de carga de vehículos")</f>
        <v>19 Caqueteo de carga de vehículos</v>
      </c>
      <c r="E2" s="15" t="str">
        <f ca="1">IFERROR(__xludf.DUMMYFUNCTION("GOOGLETRANSLATE(A2,(""auto""),(""FR""))"),"19 prise de charge de véhicule")</f>
        <v>19 prise de charge de véhicule</v>
      </c>
      <c r="F2" s="15" t="str">
        <f ca="1">IFERROR(__xludf.DUMMYFUNCTION("GOOGLETRANSLATE(A2,(""auto""),(""IT""))"),"19 Presa di ricarica del veicolo")</f>
        <v>19 Presa di ricarica del veicolo</v>
      </c>
    </row>
    <row r="3" spans="1:6" ht="30" customHeight="1">
      <c r="A3" s="16"/>
      <c r="B3" s="17" t="s">
        <v>437</v>
      </c>
      <c r="C3" s="18" t="s">
        <v>427</v>
      </c>
      <c r="D3" s="15" t="str">
        <f ca="1">IFERROR(__xludf.DUMMYFUNCTION("GOOGLETRANSLATE(A3,(""auto""),(""es""))"),"#VALUE!")</f>
        <v>#VALUE!</v>
      </c>
      <c r="E3" s="15" t="str">
        <f ca="1">IFERROR(__xludf.DUMMYFUNCTION("GOOGLETRANSLATE(A3,(""auto""),(""FR""))"),"#VALUE!")</f>
        <v>#VALUE!</v>
      </c>
      <c r="F3" s="15" t="str">
        <f ca="1">IFERROR(__xludf.DUMMYFUNCTION("GOOGLETRANSLATE(A3,(""auto""),(""IT""))"),"#VALUE!")</f>
        <v>#VALUE!</v>
      </c>
    </row>
    <row r="4" spans="1:6" ht="45" customHeight="1">
      <c r="A4" s="19">
        <v>1</v>
      </c>
      <c r="B4" s="17" t="s">
        <v>474</v>
      </c>
      <c r="C4" s="20"/>
      <c r="D4" s="15" t="str">
        <f ca="1">IFERROR(__xludf.DUMMYFUNCTION("GOOGLETRANSLATE(A4,(""auto""),(""es""))"),"1")</f>
        <v>1</v>
      </c>
      <c r="E4" s="15" t="str">
        <f ca="1">IFERROR(__xludf.DUMMYFUNCTION("GOOGLETRANSLATE(A4,(""auto""),(""FR""))"),"1")</f>
        <v>1</v>
      </c>
      <c r="F4" s="15" t="str">
        <f ca="1">IFERROR(__xludf.DUMMYFUNCTION("GOOGLETRANSLATE(A4,(""auto""),(""IT""))"),"1")</f>
        <v>1</v>
      </c>
    </row>
    <row r="5" spans="1:6" ht="30" customHeight="1">
      <c r="A5" s="19">
        <v>2</v>
      </c>
      <c r="B5" s="17" t="s">
        <v>454</v>
      </c>
      <c r="C5" s="20"/>
      <c r="D5" s="15" t="str">
        <f ca="1">IFERROR(__xludf.DUMMYFUNCTION("GOOGLETRANSLATE(A5,(""auto""),(""es""))"),"2")</f>
        <v>2</v>
      </c>
      <c r="E5" s="15" t="str">
        <f ca="1">IFERROR(__xludf.DUMMYFUNCTION("GOOGLETRANSLATE(A5,(""auto""),(""FR""))"),"2")</f>
        <v>2</v>
      </c>
      <c r="F5" s="15" t="str">
        <f ca="1">IFERROR(__xludf.DUMMYFUNCTION("GOOGLETRANSLATE(A5,(""auto""),(""IT""))"),"2")</f>
        <v>2</v>
      </c>
    </row>
    <row r="6" spans="1:6" ht="30" customHeight="1">
      <c r="A6" s="21" t="s">
        <v>475</v>
      </c>
      <c r="B6" s="21" t="s">
        <v>421</v>
      </c>
      <c r="C6" s="18" t="s">
        <v>422</v>
      </c>
      <c r="D6" s="15" t="str">
        <f ca="1">IFERROR(__xludf.DUMMYFUNCTION("GOOGLETRANSLATE(A6,(""auto""),(""es""))"),"paso
Pasos")</f>
        <v>paso
Pasos</v>
      </c>
      <c r="E6" s="15" t="str">
        <f ca="1">IFERROR(__xludf.DUMMYFUNCTION("GOOGLETRANSLATE(A6,(""auto""),(""FR""))"),"marcher
Pas")</f>
        <v>marcher
Pas</v>
      </c>
      <c r="F6" s="15" t="str">
        <f ca="1">IFERROR(__xludf.DUMMYFUNCTION("GOOGLETRANSLATE(A6,(""auto""),(""IT""))"),"fare un passo
Passi")</f>
        <v>fare un passo
Passi</v>
      </c>
    </row>
    <row r="7" spans="1:6" ht="66" customHeight="1">
      <c r="A7" s="24">
        <v>1</v>
      </c>
      <c r="B7" s="22" t="s">
        <v>234</v>
      </c>
      <c r="C7" s="20"/>
      <c r="D7" s="15" t="str">
        <f ca="1">IFERROR(__xludf.DUMMYFUNCTION("GOOGLETRANSLATE(A7,(""auto""),(""es""))"),"1")</f>
        <v>1</v>
      </c>
      <c r="E7" s="15" t="str">
        <f ca="1">IFERROR(__xludf.DUMMYFUNCTION("GOOGLETRANSLATE(A7,(""auto""),(""FR""))"),"1")</f>
        <v>1</v>
      </c>
      <c r="F7" s="15" t="str">
        <f ca="1">IFERROR(__xludf.DUMMYFUNCTION("GOOGLETRANSLATE(A7,(""auto""),(""IT""))"),"1")</f>
        <v>1</v>
      </c>
    </row>
    <row r="8" spans="1:6" ht="61.5" customHeight="1">
      <c r="A8" s="24">
        <v>2</v>
      </c>
      <c r="B8" s="22" t="s">
        <v>235</v>
      </c>
      <c r="C8" s="20"/>
      <c r="D8" s="15" t="str">
        <f ca="1">IFERROR(__xludf.DUMMYFUNCTION("GOOGLETRANSLATE(A8,(""auto""),(""es""))"),"2")</f>
        <v>2</v>
      </c>
      <c r="E8" s="15" t="str">
        <f ca="1">IFERROR(__xludf.DUMMYFUNCTION("GOOGLETRANSLATE(A8,(""auto""),(""FR""))"),"2")</f>
        <v>2</v>
      </c>
      <c r="F8" s="15" t="str">
        <f ca="1">IFERROR(__xludf.DUMMYFUNCTION("GOOGLETRANSLATE(A8,(""auto""),(""IT""))"),"2")</f>
        <v>2</v>
      </c>
    </row>
    <row r="9" spans="1:6" ht="66.75" customHeight="1">
      <c r="A9" s="24">
        <v>3</v>
      </c>
      <c r="B9" s="22" t="s">
        <v>236</v>
      </c>
      <c r="C9" s="20"/>
      <c r="D9" s="15" t="str">
        <f ca="1">IFERROR(__xludf.DUMMYFUNCTION("GOOGLETRANSLATE(A9,(""auto""),(""es""))"),"3")</f>
        <v>3</v>
      </c>
      <c r="E9" s="15" t="str">
        <f ca="1">IFERROR(__xludf.DUMMYFUNCTION("GOOGLETRANSLATE(A9,(""auto""),(""FR""))"),"3")</f>
        <v>3</v>
      </c>
      <c r="F9" s="15" t="str">
        <f ca="1">IFERROR(__xludf.DUMMYFUNCTION("GOOGLETRANSLATE(A9,(""auto""),(""IT""))"),"3")</f>
        <v>3</v>
      </c>
    </row>
    <row r="10" spans="1:6" ht="73.5" customHeight="1">
      <c r="A10" s="24">
        <v>4</v>
      </c>
      <c r="B10" s="22" t="s">
        <v>237</v>
      </c>
      <c r="C10" s="20"/>
      <c r="D10" s="15" t="str">
        <f ca="1">IFERROR(__xludf.DUMMYFUNCTION("GOOGLETRANSLATE(A10,(""auto""),(""es""))"),"4")</f>
        <v>4</v>
      </c>
      <c r="E10" s="15" t="str">
        <f ca="1">IFERROR(__xludf.DUMMYFUNCTION("GOOGLETRANSLATE(A10,(""auto""),(""FR""))"),"4")</f>
        <v>4</v>
      </c>
      <c r="F10" s="15" t="str">
        <f ca="1">IFERROR(__xludf.DUMMYFUNCTION("GOOGLETRANSLATE(A10,(""auto""),(""IT""))"),"4")</f>
        <v>4</v>
      </c>
    </row>
    <row r="11" spans="1:6" ht="66.75" customHeight="1">
      <c r="A11" s="24">
        <v>5</v>
      </c>
      <c r="B11" s="22" t="s">
        <v>238</v>
      </c>
      <c r="C11" s="20"/>
      <c r="D11" s="15" t="str">
        <f ca="1">IFERROR(__xludf.DUMMYFUNCTION("GOOGLETRANSLATE(A11,(""auto""),(""es""))"),"5")</f>
        <v>5</v>
      </c>
      <c r="E11" s="15" t="str">
        <f ca="1">IFERROR(__xludf.DUMMYFUNCTION("GOOGLETRANSLATE(A11,(""auto""),(""FR""))"),"5")</f>
        <v>5</v>
      </c>
      <c r="F11" s="15" t="str">
        <f ca="1">IFERROR(__xludf.DUMMYFUNCTION("GOOGLETRANSLATE(A11,(""auto""),(""IT""))"),"5")</f>
        <v>5</v>
      </c>
    </row>
    <row r="12" spans="1:6">
      <c r="A12" s="23"/>
    </row>
    <row r="13" spans="1:6">
      <c r="A13" s="23"/>
    </row>
    <row r="14" spans="1:6" ht="15.75" customHeight="1">
      <c r="A14" s="23"/>
    </row>
    <row r="15" spans="1:6" ht="15.75" customHeight="1">
      <c r="A15" s="23"/>
    </row>
    <row r="16" spans="1:6" ht="15.75" customHeight="1">
      <c r="A16" s="23"/>
    </row>
    <row r="17" spans="1:1" ht="15.75" customHeight="1">
      <c r="A17" s="23"/>
    </row>
    <row r="18" spans="1:1" ht="15.75" customHeight="1">
      <c r="A18" s="23"/>
    </row>
    <row r="19" spans="1:1" ht="15.75" customHeight="1">
      <c r="A19" s="23"/>
    </row>
    <row r="20" spans="1:1" ht="15.75" customHeight="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sheetData>
  <mergeCells count="2">
    <mergeCell ref="A1:C1"/>
    <mergeCell ref="A2:C2"/>
  </mergeCells>
  <pageMargins left="0.7" right="0.7" top="0.75" bottom="0.75" header="0" footer="0"/>
  <pageSetup orientation="landscape"/>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B1000"/>
  <sheetViews>
    <sheetView workbookViewId="0"/>
  </sheetViews>
  <sheetFormatPr defaultColWidth="11.25" defaultRowHeight="15" customHeight="1"/>
  <cols>
    <col min="1" max="1" width="24.75" customWidth="1"/>
    <col min="2" max="2" width="38.5" customWidth="1"/>
    <col min="3" max="6" width="8.75" customWidth="1"/>
    <col min="7" max="26" width="10" customWidth="1"/>
  </cols>
  <sheetData>
    <row r="1" spans="1:2" ht="40.5" customHeight="1">
      <c r="A1" s="75" t="s">
        <v>476</v>
      </c>
    </row>
    <row r="2" spans="1:2">
      <c r="A2" s="75"/>
      <c r="B2" s="30" t="s">
        <v>477</v>
      </c>
    </row>
    <row r="3" spans="1:2">
      <c r="A3" s="75" t="s">
        <v>54</v>
      </c>
      <c r="B3" s="31" t="s">
        <v>55</v>
      </c>
    </row>
    <row r="4" spans="1:2">
      <c r="A4" s="75" t="s">
        <v>56</v>
      </c>
      <c r="B4" s="31" t="s">
        <v>57</v>
      </c>
    </row>
    <row r="5" spans="1:2">
      <c r="A5" s="75" t="s">
        <v>59</v>
      </c>
      <c r="B5" s="31" t="s">
        <v>60</v>
      </c>
    </row>
    <row r="6" spans="1:2">
      <c r="A6" s="75" t="s">
        <v>61</v>
      </c>
      <c r="B6" s="31" t="s">
        <v>62</v>
      </c>
    </row>
    <row r="7" spans="1:2">
      <c r="A7" s="75" t="s">
        <v>63</v>
      </c>
      <c r="B7" s="31" t="s">
        <v>64</v>
      </c>
    </row>
    <row r="8" spans="1:2">
      <c r="A8" s="75" t="s">
        <v>65</v>
      </c>
      <c r="B8" s="31" t="s">
        <v>66</v>
      </c>
    </row>
    <row r="9" spans="1:2">
      <c r="A9" s="75" t="s">
        <v>67</v>
      </c>
      <c r="B9" s="31" t="s">
        <v>68</v>
      </c>
    </row>
    <row r="10" spans="1:2">
      <c r="A10" s="75" t="s">
        <v>69</v>
      </c>
      <c r="B10" s="31" t="s">
        <v>70</v>
      </c>
    </row>
    <row r="11" spans="1:2">
      <c r="A11" s="75" t="s">
        <v>71</v>
      </c>
      <c r="B11" s="31" t="s">
        <v>72</v>
      </c>
    </row>
    <row r="12" spans="1:2">
      <c r="A12" s="75" t="s">
        <v>73</v>
      </c>
      <c r="B12" s="31" t="s">
        <v>74</v>
      </c>
    </row>
    <row r="13" spans="1:2">
      <c r="A13" s="75" t="s">
        <v>75</v>
      </c>
      <c r="B13" s="31" t="s">
        <v>76</v>
      </c>
    </row>
    <row r="14" spans="1:2">
      <c r="A14" s="75" t="s">
        <v>77</v>
      </c>
      <c r="B14" s="31" t="s">
        <v>78</v>
      </c>
    </row>
    <row r="15" spans="1:2">
      <c r="A15" s="75" t="s">
        <v>79</v>
      </c>
      <c r="B15" s="31" t="s">
        <v>80</v>
      </c>
    </row>
    <row r="16" spans="1:2">
      <c r="A16" s="75" t="s">
        <v>81</v>
      </c>
      <c r="B16" s="31" t="s">
        <v>82</v>
      </c>
    </row>
    <row r="17" spans="1:2">
      <c r="A17" s="75" t="s">
        <v>83</v>
      </c>
      <c r="B17" s="31" t="s">
        <v>84</v>
      </c>
    </row>
    <row r="18" spans="1:2">
      <c r="A18" s="75" t="s">
        <v>85</v>
      </c>
      <c r="B18" s="31" t="s">
        <v>86</v>
      </c>
    </row>
    <row r="19" spans="1:2">
      <c r="A19" s="75" t="s">
        <v>87</v>
      </c>
      <c r="B19" s="31" t="s">
        <v>88</v>
      </c>
    </row>
    <row r="20" spans="1:2">
      <c r="A20" s="75" t="s">
        <v>89</v>
      </c>
      <c r="B20" s="31" t="s">
        <v>90</v>
      </c>
    </row>
    <row r="21" spans="1:2" ht="15.75" customHeight="1">
      <c r="A21" s="75" t="s">
        <v>91</v>
      </c>
      <c r="B21" s="31" t="s">
        <v>92</v>
      </c>
    </row>
    <row r="22" spans="1:2" ht="15.75" customHeight="1">
      <c r="A22" s="75" t="s">
        <v>93</v>
      </c>
      <c r="B22" s="31" t="s">
        <v>94</v>
      </c>
    </row>
    <row r="23" spans="1:2" ht="15.75" customHeight="1">
      <c r="A23" s="75" t="s">
        <v>95</v>
      </c>
      <c r="B23" s="31" t="s">
        <v>96</v>
      </c>
    </row>
    <row r="24" spans="1:2" ht="15.75" customHeight="1">
      <c r="A24" s="75" t="s">
        <v>97</v>
      </c>
      <c r="B24" s="31" t="s">
        <v>98</v>
      </c>
    </row>
    <row r="25" spans="1:2" ht="15.75" customHeight="1">
      <c r="A25" s="75" t="s">
        <v>99</v>
      </c>
      <c r="B25" s="31" t="s">
        <v>100</v>
      </c>
    </row>
    <row r="26" spans="1:2" ht="15.75" customHeight="1">
      <c r="A26" s="75" t="s">
        <v>101</v>
      </c>
      <c r="B26" s="31" t="s">
        <v>102</v>
      </c>
    </row>
    <row r="27" spans="1:2" ht="15.75" customHeight="1">
      <c r="A27" s="75" t="s">
        <v>103</v>
      </c>
      <c r="B27" s="31" t="s">
        <v>104</v>
      </c>
    </row>
    <row r="28" spans="1:2" ht="15.75" customHeight="1">
      <c r="A28" s="75" t="s">
        <v>105</v>
      </c>
      <c r="B28" s="31" t="s">
        <v>106</v>
      </c>
    </row>
    <row r="29" spans="1:2" ht="15.75" customHeight="1">
      <c r="A29" s="75" t="s">
        <v>107</v>
      </c>
      <c r="B29" s="31" t="s">
        <v>108</v>
      </c>
    </row>
    <row r="30" spans="1:2" ht="15.75" customHeight="1">
      <c r="A30" s="75" t="s">
        <v>109</v>
      </c>
      <c r="B30" s="31" t="s">
        <v>110</v>
      </c>
    </row>
    <row r="31" spans="1:2" ht="15.75" customHeight="1">
      <c r="A31" s="75" t="s">
        <v>111</v>
      </c>
      <c r="B31" s="31" t="s">
        <v>112</v>
      </c>
    </row>
    <row r="32" spans="1:2" ht="15.75" customHeight="1">
      <c r="A32" s="75" t="s">
        <v>113</v>
      </c>
      <c r="B32" s="31" t="s">
        <v>114</v>
      </c>
    </row>
    <row r="33" spans="1:2" ht="15.75" customHeight="1">
      <c r="A33" s="75" t="s">
        <v>115</v>
      </c>
      <c r="B33" s="31" t="s">
        <v>116</v>
      </c>
    </row>
    <row r="34" spans="1:2" ht="15.75" customHeight="1">
      <c r="A34" s="75" t="s">
        <v>117</v>
      </c>
      <c r="B34" s="31" t="s">
        <v>118</v>
      </c>
    </row>
    <row r="35" spans="1:2" ht="15.75" customHeight="1">
      <c r="A35" s="75" t="s">
        <v>119</v>
      </c>
      <c r="B35" s="31" t="s">
        <v>120</v>
      </c>
    </row>
    <row r="36" spans="1:2" ht="15.75" customHeight="1">
      <c r="A36" s="75" t="s">
        <v>121</v>
      </c>
      <c r="B36" s="31" t="s">
        <v>122</v>
      </c>
    </row>
    <row r="37" spans="1:2" ht="15.75" customHeight="1">
      <c r="A37" s="75" t="s">
        <v>123</v>
      </c>
      <c r="B37" s="31" t="s">
        <v>124</v>
      </c>
    </row>
    <row r="38" spans="1:2" ht="15.75" customHeight="1">
      <c r="A38" s="75" t="s">
        <v>125</v>
      </c>
      <c r="B38" s="31" t="s">
        <v>478</v>
      </c>
    </row>
    <row r="39" spans="1:2" ht="15.75" customHeight="1">
      <c r="A39" s="75" t="s">
        <v>127</v>
      </c>
      <c r="B39" s="31" t="s">
        <v>128</v>
      </c>
    </row>
    <row r="40" spans="1:2" ht="15.75" customHeight="1">
      <c r="A40" s="75" t="s">
        <v>129</v>
      </c>
      <c r="B40" s="31" t="s">
        <v>130</v>
      </c>
    </row>
    <row r="41" spans="1:2" ht="15.75" customHeight="1">
      <c r="A41" s="75" t="s">
        <v>131</v>
      </c>
      <c r="B41" s="31" t="s">
        <v>132</v>
      </c>
    </row>
    <row r="42" spans="1:2" ht="15.75" customHeight="1">
      <c r="A42" s="75" t="s">
        <v>133</v>
      </c>
      <c r="B42" s="31" t="s">
        <v>134</v>
      </c>
    </row>
    <row r="43" spans="1:2" ht="15.75" customHeight="1">
      <c r="A43" s="75" t="s">
        <v>135</v>
      </c>
      <c r="B43" s="31" t="s">
        <v>136</v>
      </c>
    </row>
    <row r="44" spans="1:2" ht="15.75" customHeight="1">
      <c r="A44" s="75" t="s">
        <v>137</v>
      </c>
      <c r="B44" s="31" t="s">
        <v>138</v>
      </c>
    </row>
    <row r="45" spans="1:2" ht="15.75" customHeight="1">
      <c r="A45" s="75" t="s">
        <v>139</v>
      </c>
      <c r="B45" s="31" t="s">
        <v>140</v>
      </c>
    </row>
    <row r="46" spans="1:2" ht="15.75" customHeight="1">
      <c r="A46" s="75"/>
      <c r="B46" s="31"/>
    </row>
    <row r="47" spans="1:2" ht="15.75" customHeight="1">
      <c r="A47" s="75"/>
      <c r="B47" s="31"/>
    </row>
    <row r="48" spans="1:2" ht="15.75" customHeight="1">
      <c r="A48" s="75"/>
    </row>
    <row r="49" spans="1:1" ht="15.75" customHeight="1">
      <c r="A49" s="75"/>
    </row>
    <row r="50" spans="1:1" ht="15.75" customHeight="1">
      <c r="A50" s="75"/>
    </row>
    <row r="51" spans="1:1" ht="15.75" customHeight="1">
      <c r="A51" s="75"/>
    </row>
    <row r="52" spans="1:1" ht="15.75" customHeight="1">
      <c r="A52" s="75"/>
    </row>
    <row r="53" spans="1:1" ht="15.75" customHeight="1">
      <c r="A53" s="75"/>
    </row>
    <row r="54" spans="1:1" ht="15.75" customHeight="1">
      <c r="A54" s="75"/>
    </row>
    <row r="55" spans="1:1" ht="15.75" customHeight="1">
      <c r="A55" s="75"/>
    </row>
    <row r="56" spans="1:1" ht="15.75" customHeight="1">
      <c r="A56" s="75"/>
    </row>
    <row r="57" spans="1:1" ht="15.75" customHeight="1">
      <c r="A57" s="75"/>
    </row>
    <row r="58" spans="1:1" ht="15.75" customHeight="1">
      <c r="A58" s="75"/>
    </row>
    <row r="59" spans="1:1" ht="15.75" customHeight="1">
      <c r="A59" s="75"/>
    </row>
    <row r="60" spans="1:1" ht="15.75" customHeight="1">
      <c r="A60" s="75"/>
    </row>
    <row r="61" spans="1:1" ht="15.75" customHeight="1">
      <c r="A61" s="75"/>
    </row>
    <row r="62" spans="1:1" ht="15.75" customHeight="1">
      <c r="A62" s="75"/>
    </row>
    <row r="63" spans="1:1" ht="15.75" customHeight="1">
      <c r="A63" s="75"/>
    </row>
    <row r="64" spans="1:1" ht="15.75" customHeight="1">
      <c r="A64" s="75"/>
    </row>
    <row r="65" spans="1:1" ht="15.75" customHeight="1">
      <c r="A65" s="75"/>
    </row>
    <row r="66" spans="1:1" ht="15.75" customHeight="1">
      <c r="A66" s="75"/>
    </row>
    <row r="67" spans="1:1" ht="15.75" customHeight="1">
      <c r="A67" s="75"/>
    </row>
    <row r="68" spans="1:1" ht="15.75" customHeight="1">
      <c r="A68" s="75"/>
    </row>
    <row r="69" spans="1:1" ht="15.75" customHeight="1">
      <c r="A69" s="75"/>
    </row>
    <row r="70" spans="1:1" ht="15.75" customHeight="1">
      <c r="A70" s="75"/>
    </row>
    <row r="71" spans="1:1" ht="15.75" customHeight="1">
      <c r="A71" s="75"/>
    </row>
    <row r="72" spans="1:1" ht="15.75" customHeight="1">
      <c r="A72" s="75"/>
    </row>
    <row r="73" spans="1:1" ht="15.75" customHeight="1">
      <c r="A73" s="75"/>
    </row>
    <row r="74" spans="1:1" ht="15.75" customHeight="1">
      <c r="A74" s="75"/>
    </row>
    <row r="75" spans="1:1" ht="15.75" customHeight="1">
      <c r="A75" s="75"/>
    </row>
    <row r="76" spans="1:1" ht="15.75" customHeight="1">
      <c r="A76" s="75"/>
    </row>
    <row r="77" spans="1:1" ht="15.75" customHeight="1">
      <c r="A77" s="75"/>
    </row>
    <row r="78" spans="1:1" ht="15.75" customHeight="1">
      <c r="A78" s="75"/>
    </row>
    <row r="79" spans="1:1" ht="15.75" customHeight="1">
      <c r="A79" s="75"/>
    </row>
    <row r="80" spans="1:1" ht="15.75" customHeight="1">
      <c r="A80" s="75"/>
    </row>
    <row r="81" spans="1:1" ht="15.75" customHeight="1">
      <c r="A81" s="75"/>
    </row>
    <row r="82" spans="1:1" ht="15.75" customHeight="1">
      <c r="A82" s="75"/>
    </row>
    <row r="83" spans="1:1" ht="15.75" customHeight="1">
      <c r="A83" s="75"/>
    </row>
    <row r="84" spans="1:1" ht="15.75" customHeight="1">
      <c r="A84" s="75"/>
    </row>
    <row r="85" spans="1:1" ht="15.75" customHeight="1">
      <c r="A85" s="75"/>
    </row>
    <row r="86" spans="1:1" ht="15.75" customHeight="1">
      <c r="A86" s="75"/>
    </row>
    <row r="87" spans="1:1" ht="15.75" customHeight="1">
      <c r="A87" s="75"/>
    </row>
    <row r="88" spans="1:1" ht="15.75" customHeight="1">
      <c r="A88" s="75"/>
    </row>
    <row r="89" spans="1:1" ht="15.75" customHeight="1">
      <c r="A89" s="75"/>
    </row>
    <row r="90" spans="1:1" ht="15.75" customHeight="1">
      <c r="A90" s="75"/>
    </row>
    <row r="91" spans="1:1" ht="15.75" customHeight="1">
      <c r="A91" s="75"/>
    </row>
    <row r="92" spans="1:1" ht="15.75" customHeight="1">
      <c r="A92" s="75"/>
    </row>
    <row r="93" spans="1:1" ht="15.75" customHeight="1">
      <c r="A93" s="75"/>
    </row>
    <row r="94" spans="1:1" ht="15.75" customHeight="1">
      <c r="A94" s="75"/>
    </row>
    <row r="95" spans="1:1" ht="15.75" customHeight="1">
      <c r="A95" s="75"/>
    </row>
    <row r="96" spans="1:1" ht="15.75" customHeight="1">
      <c r="A96" s="75"/>
    </row>
    <row r="97" spans="1:1" ht="15.75" customHeight="1">
      <c r="A97" s="75"/>
    </row>
    <row r="98" spans="1:1" ht="15.75" customHeight="1">
      <c r="A98" s="75"/>
    </row>
    <row r="99" spans="1:1" ht="15.75" customHeight="1">
      <c r="A99" s="75"/>
    </row>
    <row r="100" spans="1:1" ht="15.75" customHeight="1">
      <c r="A100" s="75"/>
    </row>
    <row r="101" spans="1:1" ht="15.75" customHeight="1">
      <c r="A101" s="75"/>
    </row>
    <row r="102" spans="1:1" ht="15.75" customHeight="1">
      <c r="A102" s="75"/>
    </row>
    <row r="103" spans="1:1" ht="15.75" customHeight="1">
      <c r="A103" s="75"/>
    </row>
    <row r="104" spans="1:1" ht="15.75" customHeight="1">
      <c r="A104" s="75"/>
    </row>
    <row r="105" spans="1:1" ht="15.75" customHeight="1">
      <c r="A105" s="75"/>
    </row>
    <row r="106" spans="1:1" ht="15.75" customHeight="1">
      <c r="A106" s="75"/>
    </row>
    <row r="107" spans="1:1" ht="15.75" customHeight="1">
      <c r="A107" s="75"/>
    </row>
    <row r="108" spans="1:1" ht="15.75" customHeight="1">
      <c r="A108" s="75"/>
    </row>
    <row r="109" spans="1:1" ht="15.75" customHeight="1">
      <c r="A109" s="75"/>
    </row>
    <row r="110" spans="1:1" ht="15.75" customHeight="1">
      <c r="A110" s="75"/>
    </row>
    <row r="111" spans="1:1" ht="15.75" customHeight="1">
      <c r="A111" s="75"/>
    </row>
    <row r="112" spans="1:1" ht="15.75" customHeight="1">
      <c r="A112" s="75"/>
    </row>
    <row r="113" spans="1:1" ht="15.75" customHeight="1">
      <c r="A113" s="75"/>
    </row>
    <row r="114" spans="1:1" ht="15.75" customHeight="1">
      <c r="A114" s="75"/>
    </row>
    <row r="115" spans="1:1" ht="15.75" customHeight="1">
      <c r="A115" s="75"/>
    </row>
    <row r="116" spans="1:1" ht="15.75" customHeight="1">
      <c r="A116" s="75"/>
    </row>
    <row r="117" spans="1:1" ht="15.75" customHeight="1">
      <c r="A117" s="75"/>
    </row>
    <row r="118" spans="1:1" ht="15.75" customHeight="1">
      <c r="A118" s="75"/>
    </row>
    <row r="119" spans="1:1" ht="15.75" customHeight="1">
      <c r="A119" s="75"/>
    </row>
    <row r="120" spans="1:1" ht="15.75" customHeight="1">
      <c r="A120" s="75"/>
    </row>
    <row r="121" spans="1:1" ht="15.75" customHeight="1">
      <c r="A121" s="75"/>
    </row>
    <row r="122" spans="1:1" ht="15.75" customHeight="1">
      <c r="A122" s="75"/>
    </row>
    <row r="123" spans="1:1" ht="15.75" customHeight="1">
      <c r="A123" s="75"/>
    </row>
    <row r="124" spans="1:1" ht="15.75" customHeight="1">
      <c r="A124" s="75"/>
    </row>
    <row r="125" spans="1:1" ht="15.75" customHeight="1">
      <c r="A125" s="75"/>
    </row>
    <row r="126" spans="1:1" ht="15.75" customHeight="1">
      <c r="A126" s="75"/>
    </row>
    <row r="127" spans="1:1" ht="15.75" customHeight="1">
      <c r="A127" s="75"/>
    </row>
    <row r="128" spans="1:1" ht="15.75" customHeight="1">
      <c r="A128" s="75"/>
    </row>
    <row r="129" spans="1:1" ht="15.75" customHeight="1">
      <c r="A129" s="75"/>
    </row>
    <row r="130" spans="1:1" ht="15.75" customHeight="1">
      <c r="A130" s="75"/>
    </row>
    <row r="131" spans="1:1" ht="15.75" customHeight="1">
      <c r="A131" s="75"/>
    </row>
    <row r="132" spans="1:1" ht="15.75" customHeight="1">
      <c r="A132" s="75"/>
    </row>
    <row r="133" spans="1:1" ht="15.75" customHeight="1">
      <c r="A133" s="75"/>
    </row>
    <row r="134" spans="1:1" ht="15.75" customHeight="1">
      <c r="A134" s="75"/>
    </row>
    <row r="135" spans="1:1" ht="15.75" customHeight="1">
      <c r="A135" s="75"/>
    </row>
    <row r="136" spans="1:1" ht="15.75" customHeight="1">
      <c r="A136" s="75"/>
    </row>
    <row r="137" spans="1:1" ht="15.75" customHeight="1">
      <c r="A137" s="75"/>
    </row>
    <row r="138" spans="1:1" ht="15.75" customHeight="1">
      <c r="A138" s="75"/>
    </row>
    <row r="139" spans="1:1" ht="15.75" customHeight="1">
      <c r="A139" s="75"/>
    </row>
    <row r="140" spans="1:1" ht="15.75" customHeight="1">
      <c r="A140" s="75"/>
    </row>
    <row r="141" spans="1:1" ht="15.75" customHeight="1">
      <c r="A141" s="75"/>
    </row>
    <row r="142" spans="1:1" ht="15.75" customHeight="1">
      <c r="A142" s="75"/>
    </row>
    <row r="143" spans="1:1" ht="15.75" customHeight="1">
      <c r="A143" s="75"/>
    </row>
    <row r="144" spans="1:1" ht="15.75" customHeight="1">
      <c r="A144" s="75"/>
    </row>
    <row r="145" spans="1:1" ht="15.75" customHeight="1">
      <c r="A145" s="75"/>
    </row>
    <row r="146" spans="1:1" ht="15.75" customHeight="1">
      <c r="A146" s="75"/>
    </row>
    <row r="147" spans="1:1" ht="15.75" customHeight="1">
      <c r="A147" s="75"/>
    </row>
    <row r="148" spans="1:1" ht="15.75" customHeight="1">
      <c r="A148" s="75"/>
    </row>
    <row r="149" spans="1:1" ht="15.75" customHeight="1">
      <c r="A149" s="75"/>
    </row>
    <row r="150" spans="1:1" ht="15.75" customHeight="1">
      <c r="A150" s="75"/>
    </row>
    <row r="151" spans="1:1" ht="15.75" customHeight="1">
      <c r="A151" s="75"/>
    </row>
    <row r="152" spans="1:1" ht="15.75" customHeight="1">
      <c r="A152" s="75"/>
    </row>
    <row r="153" spans="1:1" ht="15.75" customHeight="1">
      <c r="A153" s="75"/>
    </row>
    <row r="154" spans="1:1" ht="15.75" customHeight="1">
      <c r="A154" s="75"/>
    </row>
    <row r="155" spans="1:1" ht="15.75" customHeight="1">
      <c r="A155" s="75"/>
    </row>
    <row r="156" spans="1:1" ht="15.75" customHeight="1">
      <c r="A156" s="75"/>
    </row>
    <row r="157" spans="1:1" ht="15.75" customHeight="1">
      <c r="A157" s="75"/>
    </row>
    <row r="158" spans="1:1" ht="15.75" customHeight="1">
      <c r="A158" s="75"/>
    </row>
    <row r="159" spans="1:1" ht="15.75" customHeight="1">
      <c r="A159" s="75"/>
    </row>
    <row r="160" spans="1:1" ht="15.75" customHeight="1">
      <c r="A160" s="75"/>
    </row>
    <row r="161" spans="1:1" ht="15.75" customHeight="1">
      <c r="A161" s="75"/>
    </row>
    <row r="162" spans="1:1" ht="15.75" customHeight="1">
      <c r="A162" s="75"/>
    </row>
    <row r="163" spans="1:1" ht="15.75" customHeight="1">
      <c r="A163" s="75"/>
    </row>
    <row r="164" spans="1:1" ht="15.75" customHeight="1">
      <c r="A164" s="75"/>
    </row>
    <row r="165" spans="1:1" ht="15.75" customHeight="1">
      <c r="A165" s="75"/>
    </row>
    <row r="166" spans="1:1" ht="15.75" customHeight="1">
      <c r="A166" s="75"/>
    </row>
    <row r="167" spans="1:1" ht="15.75" customHeight="1">
      <c r="A167" s="75"/>
    </row>
    <row r="168" spans="1:1" ht="15.75" customHeight="1">
      <c r="A168" s="75"/>
    </row>
    <row r="169" spans="1:1" ht="15.75" customHeight="1">
      <c r="A169" s="75"/>
    </row>
    <row r="170" spans="1:1" ht="15.75" customHeight="1">
      <c r="A170" s="75"/>
    </row>
    <row r="171" spans="1:1" ht="15.75" customHeight="1">
      <c r="A171" s="75"/>
    </row>
    <row r="172" spans="1:1" ht="15.75" customHeight="1">
      <c r="A172" s="75"/>
    </row>
    <row r="173" spans="1:1" ht="15.75" customHeight="1">
      <c r="A173" s="75"/>
    </row>
    <row r="174" spans="1:1" ht="15.75" customHeight="1">
      <c r="A174" s="75"/>
    </row>
    <row r="175" spans="1:1" ht="15.75" customHeight="1">
      <c r="A175" s="75"/>
    </row>
    <row r="176" spans="1:1" ht="15.75" customHeight="1">
      <c r="A176" s="75"/>
    </row>
    <row r="177" spans="1:1" ht="15.75" customHeight="1">
      <c r="A177" s="75"/>
    </row>
    <row r="178" spans="1:1" ht="15.75" customHeight="1">
      <c r="A178" s="75"/>
    </row>
    <row r="179" spans="1:1" ht="15.75" customHeight="1">
      <c r="A179" s="75"/>
    </row>
    <row r="180" spans="1:1" ht="15.75" customHeight="1">
      <c r="A180" s="75"/>
    </row>
    <row r="181" spans="1:1" ht="15.75" customHeight="1">
      <c r="A181" s="75"/>
    </row>
    <row r="182" spans="1:1" ht="15.75" customHeight="1">
      <c r="A182" s="75"/>
    </row>
    <row r="183" spans="1:1" ht="15.75" customHeight="1">
      <c r="A183" s="75"/>
    </row>
    <row r="184" spans="1:1" ht="15.75" customHeight="1">
      <c r="A184" s="75"/>
    </row>
    <row r="185" spans="1:1" ht="15.75" customHeight="1">
      <c r="A185" s="75"/>
    </row>
    <row r="186" spans="1:1" ht="15.75" customHeight="1">
      <c r="A186" s="75"/>
    </row>
    <row r="187" spans="1:1" ht="15.75" customHeight="1">
      <c r="A187" s="75"/>
    </row>
    <row r="188" spans="1:1" ht="15.75" customHeight="1">
      <c r="A188" s="75"/>
    </row>
    <row r="189" spans="1:1" ht="15.75" customHeight="1">
      <c r="A189" s="75"/>
    </row>
    <row r="190" spans="1:1" ht="15.75" customHeight="1">
      <c r="A190" s="75"/>
    </row>
    <row r="191" spans="1:1" ht="15.75" customHeight="1">
      <c r="A191" s="75"/>
    </row>
    <row r="192" spans="1:1" ht="15.75" customHeight="1">
      <c r="A192" s="75"/>
    </row>
    <row r="193" spans="1:1" ht="15.75" customHeight="1">
      <c r="A193" s="75"/>
    </row>
    <row r="194" spans="1:1" ht="15.75" customHeight="1">
      <c r="A194" s="75"/>
    </row>
    <row r="195" spans="1:1" ht="15.75" customHeight="1">
      <c r="A195" s="75"/>
    </row>
    <row r="196" spans="1:1" ht="15.75" customHeight="1">
      <c r="A196" s="75"/>
    </row>
    <row r="197" spans="1:1" ht="15.75" customHeight="1">
      <c r="A197" s="75"/>
    </row>
    <row r="198" spans="1:1" ht="15.75" customHeight="1">
      <c r="A198" s="75"/>
    </row>
    <row r="199" spans="1:1" ht="15.75" customHeight="1">
      <c r="A199" s="75"/>
    </row>
    <row r="200" spans="1:1" ht="15.75" customHeight="1">
      <c r="A200" s="75"/>
    </row>
    <row r="201" spans="1:1" ht="15.75" customHeight="1">
      <c r="A201" s="75"/>
    </row>
    <row r="202" spans="1:1" ht="15.75" customHeight="1">
      <c r="A202" s="75"/>
    </row>
    <row r="203" spans="1:1" ht="15.75" customHeight="1">
      <c r="A203" s="75"/>
    </row>
    <row r="204" spans="1:1" ht="15.75" customHeight="1">
      <c r="A204" s="75"/>
    </row>
    <row r="205" spans="1:1" ht="15.75" customHeight="1">
      <c r="A205" s="75"/>
    </row>
    <row r="206" spans="1:1" ht="15.75" customHeight="1">
      <c r="A206" s="75"/>
    </row>
    <row r="207" spans="1:1" ht="15.75" customHeight="1">
      <c r="A207" s="75"/>
    </row>
    <row r="208" spans="1:1" ht="15.75" customHeight="1">
      <c r="A208" s="75"/>
    </row>
    <row r="209" spans="1:1" ht="15.75" customHeight="1">
      <c r="A209" s="75"/>
    </row>
    <row r="210" spans="1:1" ht="15.75" customHeight="1">
      <c r="A210" s="75"/>
    </row>
    <row r="211" spans="1:1" ht="15.75" customHeight="1">
      <c r="A211" s="75"/>
    </row>
    <row r="212" spans="1:1" ht="15.75" customHeight="1">
      <c r="A212" s="75"/>
    </row>
    <row r="213" spans="1:1" ht="15.75" customHeight="1">
      <c r="A213" s="75"/>
    </row>
    <row r="214" spans="1:1" ht="15.75" customHeight="1">
      <c r="A214" s="75"/>
    </row>
    <row r="215" spans="1:1" ht="15.75" customHeight="1">
      <c r="A215" s="75"/>
    </row>
    <row r="216" spans="1:1" ht="15.75" customHeight="1">
      <c r="A216" s="75"/>
    </row>
    <row r="217" spans="1:1" ht="15.75" customHeight="1">
      <c r="A217" s="75"/>
    </row>
    <row r="218" spans="1:1" ht="15.75" customHeight="1">
      <c r="A218" s="75"/>
    </row>
    <row r="219" spans="1:1" ht="15.75" customHeight="1">
      <c r="A219" s="75"/>
    </row>
    <row r="220" spans="1:1" ht="15.75" customHeight="1">
      <c r="A220" s="75"/>
    </row>
    <row r="221" spans="1:1" ht="15.75" customHeight="1">
      <c r="A221" s="75"/>
    </row>
    <row r="222" spans="1:1" ht="15.75" customHeight="1">
      <c r="A222" s="75"/>
    </row>
    <row r="223" spans="1:1" ht="15.75" customHeight="1">
      <c r="A223" s="75"/>
    </row>
    <row r="224" spans="1:1" ht="15.75" customHeight="1">
      <c r="A224" s="75"/>
    </row>
    <row r="225" spans="1:1" ht="15.75" customHeight="1">
      <c r="A225" s="75"/>
    </row>
    <row r="226" spans="1:1" ht="15.75" customHeight="1">
      <c r="A226" s="75"/>
    </row>
    <row r="227" spans="1:1" ht="15.75" customHeight="1">
      <c r="A227" s="75"/>
    </row>
    <row r="228" spans="1:1" ht="15.75" customHeight="1">
      <c r="A228" s="75"/>
    </row>
    <row r="229" spans="1:1" ht="15.75" customHeight="1">
      <c r="A229" s="75"/>
    </row>
    <row r="230" spans="1:1" ht="15.75" customHeight="1">
      <c r="A230" s="75"/>
    </row>
    <row r="231" spans="1:1" ht="15.75" customHeight="1">
      <c r="A231" s="75"/>
    </row>
    <row r="232" spans="1:1" ht="15.75" customHeight="1">
      <c r="A232" s="75"/>
    </row>
    <row r="233" spans="1:1" ht="15.75" customHeight="1">
      <c r="A233" s="75"/>
    </row>
    <row r="234" spans="1:1" ht="15.75" customHeight="1">
      <c r="A234" s="75"/>
    </row>
    <row r="235" spans="1:1" ht="15.75" customHeight="1">
      <c r="A235" s="75"/>
    </row>
    <row r="236" spans="1:1" ht="15.75" customHeight="1">
      <c r="A236" s="75"/>
    </row>
    <row r="237" spans="1:1" ht="15.75" customHeight="1">
      <c r="A237" s="75"/>
    </row>
    <row r="238" spans="1:1" ht="15.75" customHeight="1">
      <c r="A238" s="75"/>
    </row>
    <row r="239" spans="1:1" ht="15.75" customHeight="1">
      <c r="A239" s="75"/>
    </row>
    <row r="240" spans="1:1" ht="15.75" customHeight="1">
      <c r="A240" s="75"/>
    </row>
    <row r="241" spans="1:1" ht="15.75" customHeight="1">
      <c r="A241" s="75"/>
    </row>
    <row r="242" spans="1:1" ht="15.75" customHeight="1">
      <c r="A242" s="75"/>
    </row>
    <row r="243" spans="1:1" ht="15.75" customHeight="1">
      <c r="A243" s="75"/>
    </row>
    <row r="244" spans="1:1" ht="15.75" customHeight="1">
      <c r="A244" s="75"/>
    </row>
    <row r="245" spans="1:1" ht="15.75" customHeight="1">
      <c r="A245" s="75"/>
    </row>
    <row r="246" spans="1:1" ht="15.75" customHeight="1">
      <c r="A246" s="75"/>
    </row>
    <row r="247" spans="1:1" ht="15.75" customHeight="1">
      <c r="A247" s="75"/>
    </row>
    <row r="248" spans="1:1" ht="15.75" customHeight="1">
      <c r="A248" s="75"/>
    </row>
    <row r="249" spans="1:1" ht="15.75" customHeight="1">
      <c r="A249" s="75"/>
    </row>
    <row r="250" spans="1:1" ht="15.75" customHeight="1">
      <c r="A250" s="75"/>
    </row>
    <row r="251" spans="1:1" ht="15.75" customHeight="1">
      <c r="A251" s="75"/>
    </row>
    <row r="252" spans="1:1" ht="15.75" customHeight="1">
      <c r="A252" s="75"/>
    </row>
    <row r="253" spans="1:1" ht="15.75" customHeight="1">
      <c r="A253" s="75"/>
    </row>
    <row r="254" spans="1:1" ht="15.75" customHeight="1">
      <c r="A254" s="75"/>
    </row>
    <row r="255" spans="1:1" ht="15.75" customHeight="1">
      <c r="A255" s="75"/>
    </row>
    <row r="256" spans="1:1" ht="15.75" customHeight="1">
      <c r="A256" s="75"/>
    </row>
    <row r="257" spans="1:1" ht="15.75" customHeight="1">
      <c r="A257" s="75"/>
    </row>
    <row r="258" spans="1:1" ht="15.75" customHeight="1">
      <c r="A258" s="75"/>
    </row>
    <row r="259" spans="1:1" ht="15.75" customHeight="1">
      <c r="A259" s="75"/>
    </row>
    <row r="260" spans="1:1" ht="15.75" customHeight="1">
      <c r="A260" s="75"/>
    </row>
    <row r="261" spans="1:1" ht="15.75" customHeight="1">
      <c r="A261" s="75"/>
    </row>
    <row r="262" spans="1:1" ht="15.75" customHeight="1">
      <c r="A262" s="75"/>
    </row>
    <row r="263" spans="1:1" ht="15.75" customHeight="1">
      <c r="A263" s="75"/>
    </row>
    <row r="264" spans="1:1" ht="15.75" customHeight="1">
      <c r="A264" s="75"/>
    </row>
    <row r="265" spans="1:1" ht="15.75" customHeight="1">
      <c r="A265" s="75"/>
    </row>
    <row r="266" spans="1:1" ht="15.75" customHeight="1">
      <c r="A266" s="75"/>
    </row>
    <row r="267" spans="1:1" ht="15.75" customHeight="1">
      <c r="A267" s="75"/>
    </row>
    <row r="268" spans="1:1" ht="15.75" customHeight="1">
      <c r="A268" s="75"/>
    </row>
    <row r="269" spans="1:1" ht="15.75" customHeight="1">
      <c r="A269" s="75"/>
    </row>
    <row r="270" spans="1:1" ht="15.75" customHeight="1">
      <c r="A270" s="75"/>
    </row>
    <row r="271" spans="1:1" ht="15.75" customHeight="1">
      <c r="A271" s="75"/>
    </row>
    <row r="272" spans="1:1" ht="15.75" customHeight="1">
      <c r="A272" s="75"/>
    </row>
    <row r="273" spans="1:1" ht="15.75" customHeight="1">
      <c r="A273" s="75"/>
    </row>
    <row r="274" spans="1:1" ht="15.75" customHeight="1">
      <c r="A274" s="75"/>
    </row>
    <row r="275" spans="1:1" ht="15.75" customHeight="1">
      <c r="A275" s="75"/>
    </row>
    <row r="276" spans="1:1" ht="15.75" customHeight="1">
      <c r="A276" s="75"/>
    </row>
    <row r="277" spans="1:1" ht="15.75" customHeight="1">
      <c r="A277" s="75"/>
    </row>
    <row r="278" spans="1:1" ht="15.75" customHeight="1">
      <c r="A278" s="75"/>
    </row>
    <row r="279" spans="1:1" ht="15.75" customHeight="1">
      <c r="A279" s="75"/>
    </row>
    <row r="280" spans="1:1" ht="15.75" customHeight="1">
      <c r="A280" s="75"/>
    </row>
    <row r="281" spans="1:1" ht="15.75" customHeight="1">
      <c r="A281" s="75"/>
    </row>
    <row r="282" spans="1:1" ht="15.75" customHeight="1">
      <c r="A282" s="75"/>
    </row>
    <row r="283" spans="1:1" ht="15.75" customHeight="1">
      <c r="A283" s="75"/>
    </row>
    <row r="284" spans="1:1" ht="15.75" customHeight="1">
      <c r="A284" s="75"/>
    </row>
    <row r="285" spans="1:1" ht="15.75" customHeight="1">
      <c r="A285" s="75"/>
    </row>
    <row r="286" spans="1:1" ht="15.75" customHeight="1">
      <c r="A286" s="75"/>
    </row>
    <row r="287" spans="1:1" ht="15.75" customHeight="1">
      <c r="A287" s="75"/>
    </row>
    <row r="288" spans="1:1" ht="15.75" customHeight="1">
      <c r="A288" s="75"/>
    </row>
    <row r="289" spans="1:1" ht="15.75" customHeight="1">
      <c r="A289" s="75"/>
    </row>
    <row r="290" spans="1:1" ht="15.75" customHeight="1">
      <c r="A290" s="75"/>
    </row>
    <row r="291" spans="1:1" ht="15.75" customHeight="1">
      <c r="A291" s="75"/>
    </row>
    <row r="292" spans="1:1" ht="15.75" customHeight="1">
      <c r="A292" s="75"/>
    </row>
    <row r="293" spans="1:1" ht="15.75" customHeight="1">
      <c r="A293" s="75"/>
    </row>
    <row r="294" spans="1:1" ht="15.75" customHeight="1">
      <c r="A294" s="75"/>
    </row>
    <row r="295" spans="1:1" ht="15.75" customHeight="1">
      <c r="A295" s="75"/>
    </row>
    <row r="296" spans="1:1" ht="15.75" customHeight="1">
      <c r="A296" s="75"/>
    </row>
    <row r="297" spans="1:1" ht="15.75" customHeight="1">
      <c r="A297" s="75"/>
    </row>
    <row r="298" spans="1:1" ht="15.75" customHeight="1">
      <c r="A298" s="75"/>
    </row>
    <row r="299" spans="1:1" ht="15.75" customHeight="1">
      <c r="A299" s="75"/>
    </row>
    <row r="300" spans="1:1" ht="15.75" customHeight="1">
      <c r="A300" s="75"/>
    </row>
    <row r="301" spans="1:1" ht="15.75" customHeight="1">
      <c r="A301" s="75"/>
    </row>
    <row r="302" spans="1:1" ht="15.75" customHeight="1">
      <c r="A302" s="75"/>
    </row>
    <row r="303" spans="1:1" ht="15.75" customHeight="1">
      <c r="A303" s="75"/>
    </row>
    <row r="304" spans="1:1" ht="15.75" customHeight="1">
      <c r="A304" s="75"/>
    </row>
    <row r="305" spans="1:1" ht="15.75" customHeight="1">
      <c r="A305" s="75"/>
    </row>
    <row r="306" spans="1:1" ht="15.75" customHeight="1">
      <c r="A306" s="75"/>
    </row>
    <row r="307" spans="1:1" ht="15.75" customHeight="1">
      <c r="A307" s="75"/>
    </row>
    <row r="308" spans="1:1" ht="15.75" customHeight="1">
      <c r="A308" s="75"/>
    </row>
    <row r="309" spans="1:1" ht="15.75" customHeight="1">
      <c r="A309" s="75"/>
    </row>
    <row r="310" spans="1:1" ht="15.75" customHeight="1">
      <c r="A310" s="75"/>
    </row>
    <row r="311" spans="1:1" ht="15.75" customHeight="1">
      <c r="A311" s="75"/>
    </row>
    <row r="312" spans="1:1" ht="15.75" customHeight="1">
      <c r="A312" s="75"/>
    </row>
    <row r="313" spans="1:1" ht="15.75" customHeight="1">
      <c r="A313" s="75"/>
    </row>
    <row r="314" spans="1:1" ht="15.75" customHeight="1">
      <c r="A314" s="75"/>
    </row>
    <row r="315" spans="1:1" ht="15.75" customHeight="1">
      <c r="A315" s="75"/>
    </row>
    <row r="316" spans="1:1" ht="15.75" customHeight="1">
      <c r="A316" s="75"/>
    </row>
    <row r="317" spans="1:1" ht="15.75" customHeight="1">
      <c r="A317" s="75"/>
    </row>
    <row r="318" spans="1:1" ht="15.75" customHeight="1">
      <c r="A318" s="75"/>
    </row>
    <row r="319" spans="1:1" ht="15.75" customHeight="1">
      <c r="A319" s="75"/>
    </row>
    <row r="320" spans="1:1" ht="15.75" customHeight="1">
      <c r="A320" s="75"/>
    </row>
    <row r="321" spans="1:1" ht="15.75" customHeight="1">
      <c r="A321" s="75"/>
    </row>
    <row r="322" spans="1:1" ht="15.75" customHeight="1">
      <c r="A322" s="75"/>
    </row>
    <row r="323" spans="1:1" ht="15.75" customHeight="1">
      <c r="A323" s="75"/>
    </row>
    <row r="324" spans="1:1" ht="15.75" customHeight="1">
      <c r="A324" s="75"/>
    </row>
    <row r="325" spans="1:1" ht="15.75" customHeight="1">
      <c r="A325" s="75"/>
    </row>
    <row r="326" spans="1:1" ht="15.75" customHeight="1">
      <c r="A326" s="75"/>
    </row>
    <row r="327" spans="1:1" ht="15.75" customHeight="1">
      <c r="A327" s="75"/>
    </row>
    <row r="328" spans="1:1" ht="15.75" customHeight="1">
      <c r="A328" s="75"/>
    </row>
    <row r="329" spans="1:1" ht="15.75" customHeight="1">
      <c r="A329" s="75"/>
    </row>
    <row r="330" spans="1:1" ht="15.75" customHeight="1">
      <c r="A330" s="75"/>
    </row>
    <row r="331" spans="1:1" ht="15.75" customHeight="1">
      <c r="A331" s="75"/>
    </row>
    <row r="332" spans="1:1" ht="15.75" customHeight="1">
      <c r="A332" s="75"/>
    </row>
    <row r="333" spans="1:1" ht="15.75" customHeight="1">
      <c r="A333" s="75"/>
    </row>
    <row r="334" spans="1:1" ht="15.75" customHeight="1">
      <c r="A334" s="75"/>
    </row>
    <row r="335" spans="1:1" ht="15.75" customHeight="1">
      <c r="A335" s="75"/>
    </row>
    <row r="336" spans="1:1" ht="15.75" customHeight="1">
      <c r="A336" s="75"/>
    </row>
    <row r="337" spans="1:1" ht="15.75" customHeight="1">
      <c r="A337" s="75"/>
    </row>
    <row r="338" spans="1:1" ht="15.75" customHeight="1">
      <c r="A338" s="75"/>
    </row>
    <row r="339" spans="1:1" ht="15.75" customHeight="1">
      <c r="A339" s="75"/>
    </row>
    <row r="340" spans="1:1" ht="15.75" customHeight="1">
      <c r="A340" s="75"/>
    </row>
    <row r="341" spans="1:1" ht="15.75" customHeight="1">
      <c r="A341" s="75"/>
    </row>
    <row r="342" spans="1:1" ht="15.75" customHeight="1">
      <c r="A342" s="75"/>
    </row>
    <row r="343" spans="1:1" ht="15.75" customHeight="1">
      <c r="A343" s="75"/>
    </row>
    <row r="344" spans="1:1" ht="15.75" customHeight="1">
      <c r="A344" s="75"/>
    </row>
    <row r="345" spans="1:1" ht="15.75" customHeight="1">
      <c r="A345" s="75"/>
    </row>
    <row r="346" spans="1:1" ht="15.75" customHeight="1">
      <c r="A346" s="75"/>
    </row>
    <row r="347" spans="1:1" ht="15.75" customHeight="1">
      <c r="A347" s="75"/>
    </row>
    <row r="348" spans="1:1" ht="15.75" customHeight="1">
      <c r="A348" s="75"/>
    </row>
    <row r="349" spans="1:1" ht="15.75" customHeight="1">
      <c r="A349" s="75"/>
    </row>
    <row r="350" spans="1:1" ht="15.75" customHeight="1">
      <c r="A350" s="75"/>
    </row>
    <row r="351" spans="1:1" ht="15.75" customHeight="1">
      <c r="A351" s="75"/>
    </row>
    <row r="352" spans="1:1" ht="15.75" customHeight="1">
      <c r="A352" s="75"/>
    </row>
    <row r="353" spans="1:1" ht="15.75" customHeight="1">
      <c r="A353" s="75"/>
    </row>
    <row r="354" spans="1:1" ht="15.75" customHeight="1">
      <c r="A354" s="75"/>
    </row>
    <row r="355" spans="1:1" ht="15.75" customHeight="1">
      <c r="A355" s="75"/>
    </row>
    <row r="356" spans="1:1" ht="15.75" customHeight="1">
      <c r="A356" s="75"/>
    </row>
    <row r="357" spans="1:1" ht="15.75" customHeight="1">
      <c r="A357" s="75"/>
    </row>
    <row r="358" spans="1:1" ht="15.75" customHeight="1">
      <c r="A358" s="75"/>
    </row>
    <row r="359" spans="1:1" ht="15.75" customHeight="1">
      <c r="A359" s="75"/>
    </row>
    <row r="360" spans="1:1" ht="15.75" customHeight="1">
      <c r="A360" s="75"/>
    </row>
    <row r="361" spans="1:1" ht="15.75" customHeight="1">
      <c r="A361" s="75"/>
    </row>
    <row r="362" spans="1:1" ht="15.75" customHeight="1">
      <c r="A362" s="75"/>
    </row>
    <row r="363" spans="1:1" ht="15.75" customHeight="1">
      <c r="A363" s="75"/>
    </row>
    <row r="364" spans="1:1" ht="15.75" customHeight="1">
      <c r="A364" s="75"/>
    </row>
    <row r="365" spans="1:1" ht="15.75" customHeight="1">
      <c r="A365" s="75"/>
    </row>
    <row r="366" spans="1:1" ht="15.75" customHeight="1">
      <c r="A366" s="75"/>
    </row>
    <row r="367" spans="1:1" ht="15.75" customHeight="1">
      <c r="A367" s="75"/>
    </row>
    <row r="368" spans="1:1" ht="15.75" customHeight="1">
      <c r="A368" s="75"/>
    </row>
    <row r="369" spans="1:1" ht="15.75" customHeight="1">
      <c r="A369" s="75"/>
    </row>
    <row r="370" spans="1:1" ht="15.75" customHeight="1">
      <c r="A370" s="75"/>
    </row>
    <row r="371" spans="1:1" ht="15.75" customHeight="1">
      <c r="A371" s="75"/>
    </row>
    <row r="372" spans="1:1" ht="15.75" customHeight="1">
      <c r="A372" s="75"/>
    </row>
    <row r="373" spans="1:1" ht="15.75" customHeight="1">
      <c r="A373" s="75"/>
    </row>
    <row r="374" spans="1:1" ht="15.75" customHeight="1">
      <c r="A374" s="75"/>
    </row>
    <row r="375" spans="1:1" ht="15.75" customHeight="1">
      <c r="A375" s="75"/>
    </row>
    <row r="376" spans="1:1" ht="15.75" customHeight="1">
      <c r="A376" s="75"/>
    </row>
    <row r="377" spans="1:1" ht="15.75" customHeight="1">
      <c r="A377" s="75"/>
    </row>
    <row r="378" spans="1:1" ht="15.75" customHeight="1">
      <c r="A378" s="75"/>
    </row>
    <row r="379" spans="1:1" ht="15.75" customHeight="1">
      <c r="A379" s="75"/>
    </row>
    <row r="380" spans="1:1" ht="15.75" customHeight="1">
      <c r="A380" s="75"/>
    </row>
    <row r="381" spans="1:1" ht="15.75" customHeight="1">
      <c r="A381" s="75"/>
    </row>
    <row r="382" spans="1:1" ht="15.75" customHeight="1">
      <c r="A382" s="75"/>
    </row>
    <row r="383" spans="1:1" ht="15.75" customHeight="1">
      <c r="A383" s="75"/>
    </row>
    <row r="384" spans="1:1" ht="15.75" customHeight="1">
      <c r="A384" s="75"/>
    </row>
    <row r="385" spans="1:1" ht="15.75" customHeight="1">
      <c r="A385" s="75"/>
    </row>
    <row r="386" spans="1:1" ht="15.75" customHeight="1">
      <c r="A386" s="75"/>
    </row>
    <row r="387" spans="1:1" ht="15.75" customHeight="1">
      <c r="A387" s="75"/>
    </row>
    <row r="388" spans="1:1" ht="15.75" customHeight="1">
      <c r="A388" s="75"/>
    </row>
    <row r="389" spans="1:1" ht="15.75" customHeight="1">
      <c r="A389" s="75"/>
    </row>
    <row r="390" spans="1:1" ht="15.75" customHeight="1">
      <c r="A390" s="75"/>
    </row>
    <row r="391" spans="1:1" ht="15.75" customHeight="1">
      <c r="A391" s="75"/>
    </row>
    <row r="392" spans="1:1" ht="15.75" customHeight="1">
      <c r="A392" s="75"/>
    </row>
    <row r="393" spans="1:1" ht="15.75" customHeight="1">
      <c r="A393" s="75"/>
    </row>
    <row r="394" spans="1:1" ht="15.75" customHeight="1">
      <c r="A394" s="75"/>
    </row>
    <row r="395" spans="1:1" ht="15.75" customHeight="1">
      <c r="A395" s="75"/>
    </row>
    <row r="396" spans="1:1" ht="15.75" customHeight="1">
      <c r="A396" s="75"/>
    </row>
    <row r="397" spans="1:1" ht="15.75" customHeight="1">
      <c r="A397" s="75"/>
    </row>
    <row r="398" spans="1:1" ht="15.75" customHeight="1">
      <c r="A398" s="75"/>
    </row>
    <row r="399" spans="1:1" ht="15.75" customHeight="1">
      <c r="A399" s="75"/>
    </row>
    <row r="400" spans="1:1" ht="15.75" customHeight="1">
      <c r="A400" s="75"/>
    </row>
    <row r="401" spans="1:1" ht="15.75" customHeight="1">
      <c r="A401" s="75"/>
    </row>
    <row r="402" spans="1:1" ht="15.75" customHeight="1">
      <c r="A402" s="75"/>
    </row>
    <row r="403" spans="1:1" ht="15.75" customHeight="1">
      <c r="A403" s="75"/>
    </row>
    <row r="404" spans="1:1" ht="15.75" customHeight="1">
      <c r="A404" s="75"/>
    </row>
    <row r="405" spans="1:1" ht="15.75" customHeight="1">
      <c r="A405" s="75"/>
    </row>
    <row r="406" spans="1:1" ht="15.75" customHeight="1">
      <c r="A406" s="75"/>
    </row>
    <row r="407" spans="1:1" ht="15.75" customHeight="1">
      <c r="A407" s="75"/>
    </row>
    <row r="408" spans="1:1" ht="15.75" customHeight="1">
      <c r="A408" s="75"/>
    </row>
    <row r="409" spans="1:1" ht="15.75" customHeight="1">
      <c r="A409" s="75"/>
    </row>
    <row r="410" spans="1:1" ht="15.75" customHeight="1">
      <c r="A410" s="75"/>
    </row>
    <row r="411" spans="1:1" ht="15.75" customHeight="1">
      <c r="A411" s="75"/>
    </row>
    <row r="412" spans="1:1" ht="15.75" customHeight="1">
      <c r="A412" s="75"/>
    </row>
    <row r="413" spans="1:1" ht="15.75" customHeight="1">
      <c r="A413" s="75"/>
    </row>
    <row r="414" spans="1:1" ht="15.75" customHeight="1">
      <c r="A414" s="75"/>
    </row>
    <row r="415" spans="1:1" ht="15.75" customHeight="1">
      <c r="A415" s="75"/>
    </row>
    <row r="416" spans="1:1" ht="15.75" customHeight="1">
      <c r="A416" s="75"/>
    </row>
    <row r="417" spans="1:1" ht="15.75" customHeight="1">
      <c r="A417" s="75"/>
    </row>
    <row r="418" spans="1:1" ht="15.75" customHeight="1">
      <c r="A418" s="75"/>
    </row>
    <row r="419" spans="1:1" ht="15.75" customHeight="1">
      <c r="A419" s="75"/>
    </row>
    <row r="420" spans="1:1" ht="15.75" customHeight="1">
      <c r="A420" s="75"/>
    </row>
    <row r="421" spans="1:1" ht="15.75" customHeight="1">
      <c r="A421" s="75"/>
    </row>
    <row r="422" spans="1:1" ht="15.75" customHeight="1">
      <c r="A422" s="75"/>
    </row>
    <row r="423" spans="1:1" ht="15.75" customHeight="1">
      <c r="A423" s="75"/>
    </row>
    <row r="424" spans="1:1" ht="15.75" customHeight="1">
      <c r="A424" s="75"/>
    </row>
    <row r="425" spans="1:1" ht="15.75" customHeight="1">
      <c r="A425" s="75"/>
    </row>
    <row r="426" spans="1:1" ht="15.75" customHeight="1">
      <c r="A426" s="75"/>
    </row>
    <row r="427" spans="1:1" ht="15.75" customHeight="1">
      <c r="A427" s="75"/>
    </row>
    <row r="428" spans="1:1" ht="15.75" customHeight="1">
      <c r="A428" s="75"/>
    </row>
    <row r="429" spans="1:1" ht="15.75" customHeight="1">
      <c r="A429" s="75"/>
    </row>
    <row r="430" spans="1:1" ht="15.75" customHeight="1">
      <c r="A430" s="75"/>
    </row>
    <row r="431" spans="1:1" ht="15.75" customHeight="1">
      <c r="A431" s="75"/>
    </row>
    <row r="432" spans="1:1" ht="15.75" customHeight="1">
      <c r="A432" s="75"/>
    </row>
    <row r="433" spans="1:1" ht="15.75" customHeight="1">
      <c r="A433" s="75"/>
    </row>
    <row r="434" spans="1:1" ht="15.75" customHeight="1">
      <c r="A434" s="75"/>
    </row>
    <row r="435" spans="1:1" ht="15.75" customHeight="1">
      <c r="A435" s="75"/>
    </row>
    <row r="436" spans="1:1" ht="15.75" customHeight="1">
      <c r="A436" s="75"/>
    </row>
    <row r="437" spans="1:1" ht="15.75" customHeight="1">
      <c r="A437" s="75"/>
    </row>
    <row r="438" spans="1:1" ht="15.75" customHeight="1">
      <c r="A438" s="75"/>
    </row>
    <row r="439" spans="1:1" ht="15.75" customHeight="1">
      <c r="A439" s="75"/>
    </row>
    <row r="440" spans="1:1" ht="15.75" customHeight="1">
      <c r="A440" s="75"/>
    </row>
    <row r="441" spans="1:1" ht="15.75" customHeight="1">
      <c r="A441" s="75"/>
    </row>
    <row r="442" spans="1:1" ht="15.75" customHeight="1">
      <c r="A442" s="75"/>
    </row>
    <row r="443" spans="1:1" ht="15.75" customHeight="1">
      <c r="A443" s="75"/>
    </row>
    <row r="444" spans="1:1" ht="15.75" customHeight="1">
      <c r="A444" s="75"/>
    </row>
    <row r="445" spans="1:1" ht="15.75" customHeight="1">
      <c r="A445" s="75"/>
    </row>
    <row r="446" spans="1:1" ht="15.75" customHeight="1">
      <c r="A446" s="75"/>
    </row>
    <row r="447" spans="1:1" ht="15.75" customHeight="1">
      <c r="A447" s="75"/>
    </row>
    <row r="448" spans="1:1" ht="15.75" customHeight="1">
      <c r="A448" s="75"/>
    </row>
    <row r="449" spans="1:1" ht="15.75" customHeight="1">
      <c r="A449" s="75"/>
    </row>
    <row r="450" spans="1:1" ht="15.75" customHeight="1">
      <c r="A450" s="75"/>
    </row>
    <row r="451" spans="1:1" ht="15.75" customHeight="1">
      <c r="A451" s="75"/>
    </row>
    <row r="452" spans="1:1" ht="15.75" customHeight="1">
      <c r="A452" s="75"/>
    </row>
    <row r="453" spans="1:1" ht="15.75" customHeight="1">
      <c r="A453" s="75"/>
    </row>
    <row r="454" spans="1:1" ht="15.75" customHeight="1">
      <c r="A454" s="75"/>
    </row>
    <row r="455" spans="1:1" ht="15.75" customHeight="1">
      <c r="A455" s="75"/>
    </row>
    <row r="456" spans="1:1" ht="15.75" customHeight="1">
      <c r="A456" s="75"/>
    </row>
    <row r="457" spans="1:1" ht="15.75" customHeight="1">
      <c r="A457" s="75"/>
    </row>
    <row r="458" spans="1:1" ht="15.75" customHeight="1">
      <c r="A458" s="75"/>
    </row>
    <row r="459" spans="1:1" ht="15.75" customHeight="1">
      <c r="A459" s="75"/>
    </row>
    <row r="460" spans="1:1" ht="15.75" customHeight="1">
      <c r="A460" s="75"/>
    </row>
    <row r="461" spans="1:1" ht="15.75" customHeight="1">
      <c r="A461" s="75"/>
    </row>
    <row r="462" spans="1:1" ht="15.75" customHeight="1">
      <c r="A462" s="75"/>
    </row>
    <row r="463" spans="1:1" ht="15.75" customHeight="1">
      <c r="A463" s="75"/>
    </row>
    <row r="464" spans="1:1" ht="15.75" customHeight="1">
      <c r="A464" s="75"/>
    </row>
    <row r="465" spans="1:1" ht="15.75" customHeight="1">
      <c r="A465" s="75"/>
    </row>
    <row r="466" spans="1:1" ht="15.75" customHeight="1">
      <c r="A466" s="75"/>
    </row>
    <row r="467" spans="1:1" ht="15.75" customHeight="1">
      <c r="A467" s="75"/>
    </row>
    <row r="468" spans="1:1" ht="15.75" customHeight="1">
      <c r="A468" s="75"/>
    </row>
    <row r="469" spans="1:1" ht="15.75" customHeight="1">
      <c r="A469" s="75"/>
    </row>
    <row r="470" spans="1:1" ht="15.75" customHeight="1">
      <c r="A470" s="75"/>
    </row>
    <row r="471" spans="1:1" ht="15.75" customHeight="1">
      <c r="A471" s="75"/>
    </row>
    <row r="472" spans="1:1" ht="15.75" customHeight="1">
      <c r="A472" s="75"/>
    </row>
    <row r="473" spans="1:1" ht="15.75" customHeight="1">
      <c r="A473" s="75"/>
    </row>
    <row r="474" spans="1:1" ht="15.75" customHeight="1">
      <c r="A474" s="75"/>
    </row>
    <row r="475" spans="1:1" ht="15.75" customHeight="1">
      <c r="A475" s="75"/>
    </row>
    <row r="476" spans="1:1" ht="15.75" customHeight="1">
      <c r="A476" s="75"/>
    </row>
    <row r="477" spans="1:1" ht="15.75" customHeight="1">
      <c r="A477" s="75"/>
    </row>
    <row r="478" spans="1:1" ht="15.75" customHeight="1">
      <c r="A478" s="75"/>
    </row>
    <row r="479" spans="1:1" ht="15.75" customHeight="1">
      <c r="A479" s="75"/>
    </row>
    <row r="480" spans="1:1" ht="15.75" customHeight="1">
      <c r="A480" s="75"/>
    </row>
    <row r="481" spans="1:1" ht="15.75" customHeight="1">
      <c r="A481" s="75"/>
    </row>
    <row r="482" spans="1:1" ht="15.75" customHeight="1">
      <c r="A482" s="75"/>
    </row>
    <row r="483" spans="1:1" ht="15.75" customHeight="1">
      <c r="A483" s="75"/>
    </row>
    <row r="484" spans="1:1" ht="15.75" customHeight="1">
      <c r="A484" s="75"/>
    </row>
    <row r="485" spans="1:1" ht="15.75" customHeight="1">
      <c r="A485" s="75"/>
    </row>
    <row r="486" spans="1:1" ht="15.75" customHeight="1">
      <c r="A486" s="75"/>
    </row>
    <row r="487" spans="1:1" ht="15.75" customHeight="1">
      <c r="A487" s="75"/>
    </row>
    <row r="488" spans="1:1" ht="15.75" customHeight="1">
      <c r="A488" s="75"/>
    </row>
    <row r="489" spans="1:1" ht="15.75" customHeight="1">
      <c r="A489" s="75"/>
    </row>
    <row r="490" spans="1:1" ht="15.75" customHeight="1">
      <c r="A490" s="75"/>
    </row>
    <row r="491" spans="1:1" ht="15.75" customHeight="1">
      <c r="A491" s="75"/>
    </row>
    <row r="492" spans="1:1" ht="15.75" customHeight="1">
      <c r="A492" s="75"/>
    </row>
    <row r="493" spans="1:1" ht="15.75" customHeight="1">
      <c r="A493" s="75"/>
    </row>
    <row r="494" spans="1:1" ht="15.75" customHeight="1">
      <c r="A494" s="75"/>
    </row>
    <row r="495" spans="1:1" ht="15.75" customHeight="1">
      <c r="A495" s="75"/>
    </row>
    <row r="496" spans="1:1" ht="15.75" customHeight="1">
      <c r="A496" s="75"/>
    </row>
    <row r="497" spans="1:1" ht="15.75" customHeight="1">
      <c r="A497" s="75"/>
    </row>
    <row r="498" spans="1:1" ht="15.75" customHeight="1">
      <c r="A498" s="75"/>
    </row>
    <row r="499" spans="1:1" ht="15.75" customHeight="1">
      <c r="A499" s="75"/>
    </row>
    <row r="500" spans="1:1" ht="15.75" customHeight="1">
      <c r="A500" s="75"/>
    </row>
    <row r="501" spans="1:1" ht="15.75" customHeight="1">
      <c r="A501" s="75"/>
    </row>
    <row r="502" spans="1:1" ht="15.75" customHeight="1">
      <c r="A502" s="75"/>
    </row>
    <row r="503" spans="1:1" ht="15.75" customHeight="1">
      <c r="A503" s="75"/>
    </row>
    <row r="504" spans="1:1" ht="15.75" customHeight="1">
      <c r="A504" s="75"/>
    </row>
    <row r="505" spans="1:1" ht="15.75" customHeight="1">
      <c r="A505" s="75"/>
    </row>
    <row r="506" spans="1:1" ht="15.75" customHeight="1">
      <c r="A506" s="75"/>
    </row>
    <row r="507" spans="1:1" ht="15.75" customHeight="1">
      <c r="A507" s="75"/>
    </row>
    <row r="508" spans="1:1" ht="15.75" customHeight="1">
      <c r="A508" s="75"/>
    </row>
    <row r="509" spans="1:1" ht="15.75" customHeight="1">
      <c r="A509" s="75"/>
    </row>
    <row r="510" spans="1:1" ht="15.75" customHeight="1">
      <c r="A510" s="75"/>
    </row>
    <row r="511" spans="1:1" ht="15.75" customHeight="1">
      <c r="A511" s="75"/>
    </row>
    <row r="512" spans="1:1" ht="15.75" customHeight="1">
      <c r="A512" s="75"/>
    </row>
    <row r="513" spans="1:1" ht="15.75" customHeight="1">
      <c r="A513" s="75"/>
    </row>
    <row r="514" spans="1:1" ht="15.75" customHeight="1">
      <c r="A514" s="75"/>
    </row>
    <row r="515" spans="1:1" ht="15.75" customHeight="1">
      <c r="A515" s="75"/>
    </row>
    <row r="516" spans="1:1" ht="15.75" customHeight="1">
      <c r="A516" s="75"/>
    </row>
    <row r="517" spans="1:1" ht="15.75" customHeight="1">
      <c r="A517" s="75"/>
    </row>
    <row r="518" spans="1:1" ht="15.75" customHeight="1">
      <c r="A518" s="75"/>
    </row>
    <row r="519" spans="1:1" ht="15.75" customHeight="1">
      <c r="A519" s="75"/>
    </row>
    <row r="520" spans="1:1" ht="15.75" customHeight="1">
      <c r="A520" s="75"/>
    </row>
    <row r="521" spans="1:1" ht="15.75" customHeight="1">
      <c r="A521" s="75"/>
    </row>
    <row r="522" spans="1:1" ht="15.75" customHeight="1">
      <c r="A522" s="75"/>
    </row>
    <row r="523" spans="1:1" ht="15.75" customHeight="1">
      <c r="A523" s="75"/>
    </row>
    <row r="524" spans="1:1" ht="15.75" customHeight="1">
      <c r="A524" s="75"/>
    </row>
    <row r="525" spans="1:1" ht="15.75" customHeight="1">
      <c r="A525" s="75"/>
    </row>
    <row r="526" spans="1:1" ht="15.75" customHeight="1">
      <c r="A526" s="75"/>
    </row>
    <row r="527" spans="1:1" ht="15.75" customHeight="1">
      <c r="A527" s="75"/>
    </row>
    <row r="528" spans="1:1" ht="15.75" customHeight="1">
      <c r="A528" s="75"/>
    </row>
    <row r="529" spans="1:1" ht="15.75" customHeight="1">
      <c r="A529" s="75"/>
    </row>
    <row r="530" spans="1:1" ht="15.75" customHeight="1">
      <c r="A530" s="75"/>
    </row>
    <row r="531" spans="1:1" ht="15.75" customHeight="1">
      <c r="A531" s="75"/>
    </row>
    <row r="532" spans="1:1" ht="15.75" customHeight="1">
      <c r="A532" s="75"/>
    </row>
    <row r="533" spans="1:1" ht="15.75" customHeight="1">
      <c r="A533" s="75"/>
    </row>
    <row r="534" spans="1:1" ht="15.75" customHeight="1">
      <c r="A534" s="75"/>
    </row>
    <row r="535" spans="1:1" ht="15.75" customHeight="1">
      <c r="A535" s="75"/>
    </row>
    <row r="536" spans="1:1" ht="15.75" customHeight="1">
      <c r="A536" s="75"/>
    </row>
    <row r="537" spans="1:1" ht="15.75" customHeight="1">
      <c r="A537" s="75"/>
    </row>
    <row r="538" spans="1:1" ht="15.75" customHeight="1">
      <c r="A538" s="75"/>
    </row>
    <row r="539" spans="1:1" ht="15.75" customHeight="1">
      <c r="A539" s="75"/>
    </row>
    <row r="540" spans="1:1" ht="15.75" customHeight="1">
      <c r="A540" s="75"/>
    </row>
    <row r="541" spans="1:1" ht="15.75" customHeight="1">
      <c r="A541" s="75"/>
    </row>
    <row r="542" spans="1:1" ht="15.75" customHeight="1">
      <c r="A542" s="75"/>
    </row>
    <row r="543" spans="1:1" ht="15.75" customHeight="1">
      <c r="A543" s="75"/>
    </row>
    <row r="544" spans="1:1" ht="15.75" customHeight="1">
      <c r="A544" s="75"/>
    </row>
    <row r="545" spans="1:1" ht="15.75" customHeight="1">
      <c r="A545" s="75"/>
    </row>
    <row r="546" spans="1:1" ht="15.75" customHeight="1">
      <c r="A546" s="75"/>
    </row>
    <row r="547" spans="1:1" ht="15.75" customHeight="1">
      <c r="A547" s="75"/>
    </row>
    <row r="548" spans="1:1" ht="15.75" customHeight="1">
      <c r="A548" s="75"/>
    </row>
    <row r="549" spans="1:1" ht="15.75" customHeight="1">
      <c r="A549" s="75"/>
    </row>
    <row r="550" spans="1:1" ht="15.75" customHeight="1">
      <c r="A550" s="75"/>
    </row>
    <row r="551" spans="1:1" ht="15.75" customHeight="1">
      <c r="A551" s="75"/>
    </row>
    <row r="552" spans="1:1" ht="15.75" customHeight="1">
      <c r="A552" s="75"/>
    </row>
    <row r="553" spans="1:1" ht="15.75" customHeight="1">
      <c r="A553" s="75"/>
    </row>
    <row r="554" spans="1:1" ht="15.75" customHeight="1">
      <c r="A554" s="75"/>
    </row>
    <row r="555" spans="1:1" ht="15.75" customHeight="1">
      <c r="A555" s="75"/>
    </row>
    <row r="556" spans="1:1" ht="15.75" customHeight="1">
      <c r="A556" s="75"/>
    </row>
    <row r="557" spans="1:1" ht="15.75" customHeight="1">
      <c r="A557" s="75"/>
    </row>
    <row r="558" spans="1:1" ht="15.75" customHeight="1">
      <c r="A558" s="75"/>
    </row>
    <row r="559" spans="1:1" ht="15.75" customHeight="1">
      <c r="A559" s="75"/>
    </row>
    <row r="560" spans="1:1" ht="15.75" customHeight="1">
      <c r="A560" s="75"/>
    </row>
    <row r="561" spans="1:1" ht="15.75" customHeight="1">
      <c r="A561" s="75"/>
    </row>
    <row r="562" spans="1:1" ht="15.75" customHeight="1">
      <c r="A562" s="75"/>
    </row>
    <row r="563" spans="1:1" ht="15.75" customHeight="1">
      <c r="A563" s="75"/>
    </row>
    <row r="564" spans="1:1" ht="15.75" customHeight="1">
      <c r="A564" s="75"/>
    </row>
    <row r="565" spans="1:1" ht="15.75" customHeight="1">
      <c r="A565" s="75"/>
    </row>
    <row r="566" spans="1:1" ht="15.75" customHeight="1">
      <c r="A566" s="75"/>
    </row>
    <row r="567" spans="1:1" ht="15.75" customHeight="1">
      <c r="A567" s="75"/>
    </row>
    <row r="568" spans="1:1" ht="15.75" customHeight="1">
      <c r="A568" s="75"/>
    </row>
    <row r="569" spans="1:1" ht="15.75" customHeight="1">
      <c r="A569" s="75"/>
    </row>
    <row r="570" spans="1:1" ht="15.75" customHeight="1">
      <c r="A570" s="75"/>
    </row>
    <row r="571" spans="1:1" ht="15.75" customHeight="1">
      <c r="A571" s="75"/>
    </row>
    <row r="572" spans="1:1" ht="15.75" customHeight="1">
      <c r="A572" s="75"/>
    </row>
    <row r="573" spans="1:1" ht="15.75" customHeight="1">
      <c r="A573" s="75"/>
    </row>
    <row r="574" spans="1:1" ht="15.75" customHeight="1">
      <c r="A574" s="75"/>
    </row>
    <row r="575" spans="1:1" ht="15.75" customHeight="1">
      <c r="A575" s="75"/>
    </row>
    <row r="576" spans="1:1" ht="15.75" customHeight="1">
      <c r="A576" s="75"/>
    </row>
    <row r="577" spans="1:1" ht="15.75" customHeight="1">
      <c r="A577" s="75"/>
    </row>
    <row r="578" spans="1:1" ht="15.75" customHeight="1">
      <c r="A578" s="75"/>
    </row>
    <row r="579" spans="1:1" ht="15.75" customHeight="1">
      <c r="A579" s="75"/>
    </row>
    <row r="580" spans="1:1" ht="15.75" customHeight="1">
      <c r="A580" s="75"/>
    </row>
    <row r="581" spans="1:1" ht="15.75" customHeight="1">
      <c r="A581" s="75"/>
    </row>
    <row r="582" spans="1:1" ht="15.75" customHeight="1">
      <c r="A582" s="75"/>
    </row>
    <row r="583" spans="1:1" ht="15.75" customHeight="1">
      <c r="A583" s="75"/>
    </row>
    <row r="584" spans="1:1" ht="15.75" customHeight="1">
      <c r="A584" s="75"/>
    </row>
    <row r="585" spans="1:1" ht="15.75" customHeight="1">
      <c r="A585" s="75"/>
    </row>
    <row r="586" spans="1:1" ht="15.75" customHeight="1">
      <c r="A586" s="75"/>
    </row>
    <row r="587" spans="1:1" ht="15.75" customHeight="1">
      <c r="A587" s="75"/>
    </row>
    <row r="588" spans="1:1" ht="15.75" customHeight="1">
      <c r="A588" s="75"/>
    </row>
    <row r="589" spans="1:1" ht="15.75" customHeight="1">
      <c r="A589" s="75"/>
    </row>
    <row r="590" spans="1:1" ht="15.75" customHeight="1">
      <c r="A590" s="75"/>
    </row>
    <row r="591" spans="1:1" ht="15.75" customHeight="1">
      <c r="A591" s="75"/>
    </row>
    <row r="592" spans="1:1" ht="15.75" customHeight="1">
      <c r="A592" s="75"/>
    </row>
    <row r="593" spans="1:1" ht="15.75" customHeight="1">
      <c r="A593" s="75"/>
    </row>
    <row r="594" spans="1:1" ht="15.75" customHeight="1">
      <c r="A594" s="75"/>
    </row>
    <row r="595" spans="1:1" ht="15.75" customHeight="1">
      <c r="A595" s="75"/>
    </row>
    <row r="596" spans="1:1" ht="15.75" customHeight="1">
      <c r="A596" s="75"/>
    </row>
    <row r="597" spans="1:1" ht="15.75" customHeight="1">
      <c r="A597" s="75"/>
    </row>
    <row r="598" spans="1:1" ht="15.75" customHeight="1">
      <c r="A598" s="75"/>
    </row>
    <row r="599" spans="1:1" ht="15.75" customHeight="1">
      <c r="A599" s="75"/>
    </row>
    <row r="600" spans="1:1" ht="15.75" customHeight="1">
      <c r="A600" s="75"/>
    </row>
    <row r="601" spans="1:1" ht="15.75" customHeight="1">
      <c r="A601" s="75"/>
    </row>
    <row r="602" spans="1:1" ht="15.75" customHeight="1">
      <c r="A602" s="75"/>
    </row>
    <row r="603" spans="1:1" ht="15.75" customHeight="1">
      <c r="A603" s="75"/>
    </row>
    <row r="604" spans="1:1" ht="15.75" customHeight="1">
      <c r="A604" s="75"/>
    </row>
    <row r="605" spans="1:1" ht="15.75" customHeight="1">
      <c r="A605" s="75"/>
    </row>
    <row r="606" spans="1:1" ht="15.75" customHeight="1">
      <c r="A606" s="75"/>
    </row>
    <row r="607" spans="1:1" ht="15.75" customHeight="1">
      <c r="A607" s="75"/>
    </row>
    <row r="608" spans="1:1" ht="15.75" customHeight="1">
      <c r="A608" s="75"/>
    </row>
    <row r="609" spans="1:1" ht="15.75" customHeight="1">
      <c r="A609" s="75"/>
    </row>
    <row r="610" spans="1:1" ht="15.75" customHeight="1">
      <c r="A610" s="75"/>
    </row>
    <row r="611" spans="1:1" ht="15.75" customHeight="1">
      <c r="A611" s="75"/>
    </row>
    <row r="612" spans="1:1" ht="15.75" customHeight="1">
      <c r="A612" s="75"/>
    </row>
    <row r="613" spans="1:1" ht="15.75" customHeight="1">
      <c r="A613" s="75"/>
    </row>
    <row r="614" spans="1:1" ht="15.75" customHeight="1">
      <c r="A614" s="75"/>
    </row>
    <row r="615" spans="1:1" ht="15.75" customHeight="1">
      <c r="A615" s="75"/>
    </row>
    <row r="616" spans="1:1" ht="15.75" customHeight="1">
      <c r="A616" s="75"/>
    </row>
    <row r="617" spans="1:1" ht="15.75" customHeight="1">
      <c r="A617" s="75"/>
    </row>
    <row r="618" spans="1:1" ht="15.75" customHeight="1">
      <c r="A618" s="75"/>
    </row>
    <row r="619" spans="1:1" ht="15.75" customHeight="1">
      <c r="A619" s="75"/>
    </row>
    <row r="620" spans="1:1" ht="15.75" customHeight="1">
      <c r="A620" s="75"/>
    </row>
    <row r="621" spans="1:1" ht="15.75" customHeight="1">
      <c r="A621" s="75"/>
    </row>
    <row r="622" spans="1:1" ht="15.75" customHeight="1">
      <c r="A622" s="75"/>
    </row>
    <row r="623" spans="1:1" ht="15.75" customHeight="1">
      <c r="A623" s="75"/>
    </row>
    <row r="624" spans="1:1" ht="15.75" customHeight="1">
      <c r="A624" s="75"/>
    </row>
    <row r="625" spans="1:1" ht="15.75" customHeight="1">
      <c r="A625" s="75"/>
    </row>
    <row r="626" spans="1:1" ht="15.75" customHeight="1">
      <c r="A626" s="75"/>
    </row>
    <row r="627" spans="1:1" ht="15.75" customHeight="1">
      <c r="A627" s="75"/>
    </row>
    <row r="628" spans="1:1" ht="15.75" customHeight="1">
      <c r="A628" s="75"/>
    </row>
    <row r="629" spans="1:1" ht="15.75" customHeight="1">
      <c r="A629" s="75"/>
    </row>
    <row r="630" spans="1:1" ht="15.75" customHeight="1">
      <c r="A630" s="75"/>
    </row>
    <row r="631" spans="1:1" ht="15.75" customHeight="1">
      <c r="A631" s="75"/>
    </row>
    <row r="632" spans="1:1" ht="15.75" customHeight="1">
      <c r="A632" s="75"/>
    </row>
    <row r="633" spans="1:1" ht="15.75" customHeight="1">
      <c r="A633" s="75"/>
    </row>
    <row r="634" spans="1:1" ht="15.75" customHeight="1">
      <c r="A634" s="75"/>
    </row>
    <row r="635" spans="1:1" ht="15.75" customHeight="1">
      <c r="A635" s="75"/>
    </row>
    <row r="636" spans="1:1" ht="15.75" customHeight="1">
      <c r="A636" s="75"/>
    </row>
    <row r="637" spans="1:1" ht="15.75" customHeight="1">
      <c r="A637" s="75"/>
    </row>
    <row r="638" spans="1:1" ht="15.75" customHeight="1">
      <c r="A638" s="75"/>
    </row>
    <row r="639" spans="1:1" ht="15.75" customHeight="1">
      <c r="A639" s="75"/>
    </row>
    <row r="640" spans="1:1" ht="15.75" customHeight="1">
      <c r="A640" s="75"/>
    </row>
    <row r="641" spans="1:1" ht="15.75" customHeight="1">
      <c r="A641" s="75"/>
    </row>
    <row r="642" spans="1:1" ht="15.75" customHeight="1">
      <c r="A642" s="75"/>
    </row>
    <row r="643" spans="1:1" ht="15.75" customHeight="1">
      <c r="A643" s="75"/>
    </row>
    <row r="644" spans="1:1" ht="15.75" customHeight="1">
      <c r="A644" s="75"/>
    </row>
    <row r="645" spans="1:1" ht="15.75" customHeight="1">
      <c r="A645" s="75"/>
    </row>
    <row r="646" spans="1:1" ht="15.75" customHeight="1">
      <c r="A646" s="75"/>
    </row>
    <row r="647" spans="1:1" ht="15.75" customHeight="1">
      <c r="A647" s="75"/>
    </row>
    <row r="648" spans="1:1" ht="15.75" customHeight="1">
      <c r="A648" s="75"/>
    </row>
    <row r="649" spans="1:1" ht="15.75" customHeight="1">
      <c r="A649" s="75"/>
    </row>
    <row r="650" spans="1:1" ht="15.75" customHeight="1">
      <c r="A650" s="75"/>
    </row>
    <row r="651" spans="1:1" ht="15.75" customHeight="1">
      <c r="A651" s="75"/>
    </row>
    <row r="652" spans="1:1" ht="15.75" customHeight="1">
      <c r="A652" s="75"/>
    </row>
    <row r="653" spans="1:1" ht="15.75" customHeight="1">
      <c r="A653" s="75"/>
    </row>
    <row r="654" spans="1:1" ht="15.75" customHeight="1">
      <c r="A654" s="75"/>
    </row>
    <row r="655" spans="1:1" ht="15.75" customHeight="1">
      <c r="A655" s="75"/>
    </row>
    <row r="656" spans="1:1" ht="15.75" customHeight="1">
      <c r="A656" s="75"/>
    </row>
    <row r="657" spans="1:1" ht="15.75" customHeight="1">
      <c r="A657" s="75"/>
    </row>
    <row r="658" spans="1:1" ht="15.75" customHeight="1">
      <c r="A658" s="75"/>
    </row>
    <row r="659" spans="1:1" ht="15.75" customHeight="1">
      <c r="A659" s="75"/>
    </row>
    <row r="660" spans="1:1" ht="15.75" customHeight="1">
      <c r="A660" s="75"/>
    </row>
    <row r="661" spans="1:1" ht="15.75" customHeight="1">
      <c r="A661" s="75"/>
    </row>
    <row r="662" spans="1:1" ht="15.75" customHeight="1">
      <c r="A662" s="75"/>
    </row>
    <row r="663" spans="1:1" ht="15.75" customHeight="1">
      <c r="A663" s="75"/>
    </row>
    <row r="664" spans="1:1" ht="15.75" customHeight="1">
      <c r="A664" s="75"/>
    </row>
    <row r="665" spans="1:1" ht="15.75" customHeight="1">
      <c r="A665" s="75"/>
    </row>
    <row r="666" spans="1:1" ht="15.75" customHeight="1">
      <c r="A666" s="75"/>
    </row>
    <row r="667" spans="1:1" ht="15.75" customHeight="1">
      <c r="A667" s="75"/>
    </row>
    <row r="668" spans="1:1" ht="15.75" customHeight="1">
      <c r="A668" s="75"/>
    </row>
    <row r="669" spans="1:1" ht="15.75" customHeight="1">
      <c r="A669" s="75"/>
    </row>
    <row r="670" spans="1:1" ht="15.75" customHeight="1">
      <c r="A670" s="75"/>
    </row>
    <row r="671" spans="1:1" ht="15.75" customHeight="1">
      <c r="A671" s="75"/>
    </row>
    <row r="672" spans="1:1" ht="15.75" customHeight="1">
      <c r="A672" s="75"/>
    </row>
    <row r="673" spans="1:1" ht="15.75" customHeight="1">
      <c r="A673" s="75"/>
    </row>
    <row r="674" spans="1:1" ht="15.75" customHeight="1">
      <c r="A674" s="75"/>
    </row>
    <row r="675" spans="1:1" ht="15.75" customHeight="1">
      <c r="A675" s="75"/>
    </row>
    <row r="676" spans="1:1" ht="15.75" customHeight="1">
      <c r="A676" s="75"/>
    </row>
    <row r="677" spans="1:1" ht="15.75" customHeight="1">
      <c r="A677" s="75"/>
    </row>
    <row r="678" spans="1:1" ht="15.75" customHeight="1">
      <c r="A678" s="75"/>
    </row>
    <row r="679" spans="1:1" ht="15.75" customHeight="1">
      <c r="A679" s="75"/>
    </row>
    <row r="680" spans="1:1" ht="15.75" customHeight="1">
      <c r="A680" s="75"/>
    </row>
    <row r="681" spans="1:1" ht="15.75" customHeight="1">
      <c r="A681" s="75"/>
    </row>
    <row r="682" spans="1:1" ht="15.75" customHeight="1">
      <c r="A682" s="75"/>
    </row>
    <row r="683" spans="1:1" ht="15.75" customHeight="1">
      <c r="A683" s="75"/>
    </row>
    <row r="684" spans="1:1" ht="15.75" customHeight="1">
      <c r="A684" s="75"/>
    </row>
    <row r="685" spans="1:1" ht="15.75" customHeight="1">
      <c r="A685" s="75"/>
    </row>
    <row r="686" spans="1:1" ht="15.75" customHeight="1">
      <c r="A686" s="75"/>
    </row>
    <row r="687" spans="1:1" ht="15.75" customHeight="1">
      <c r="A687" s="75"/>
    </row>
    <row r="688" spans="1:1" ht="15.75" customHeight="1">
      <c r="A688" s="75"/>
    </row>
    <row r="689" spans="1:1" ht="15.75" customHeight="1">
      <c r="A689" s="75"/>
    </row>
    <row r="690" spans="1:1" ht="15.75" customHeight="1">
      <c r="A690" s="75"/>
    </row>
    <row r="691" spans="1:1" ht="15.75" customHeight="1">
      <c r="A691" s="75"/>
    </row>
    <row r="692" spans="1:1" ht="15.75" customHeight="1">
      <c r="A692" s="75"/>
    </row>
    <row r="693" spans="1:1" ht="15.75" customHeight="1">
      <c r="A693" s="75"/>
    </row>
    <row r="694" spans="1:1" ht="15.75" customHeight="1">
      <c r="A694" s="75"/>
    </row>
    <row r="695" spans="1:1" ht="15.75" customHeight="1">
      <c r="A695" s="75"/>
    </row>
    <row r="696" spans="1:1" ht="15.75" customHeight="1">
      <c r="A696" s="75"/>
    </row>
    <row r="697" spans="1:1" ht="15.75" customHeight="1">
      <c r="A697" s="75"/>
    </row>
    <row r="698" spans="1:1" ht="15.75" customHeight="1">
      <c r="A698" s="75"/>
    </row>
    <row r="699" spans="1:1" ht="15.75" customHeight="1">
      <c r="A699" s="75"/>
    </row>
    <row r="700" spans="1:1" ht="15.75" customHeight="1">
      <c r="A700" s="75"/>
    </row>
    <row r="701" spans="1:1" ht="15.75" customHeight="1">
      <c r="A701" s="75"/>
    </row>
    <row r="702" spans="1:1" ht="15.75" customHeight="1">
      <c r="A702" s="75"/>
    </row>
    <row r="703" spans="1:1" ht="15.75" customHeight="1">
      <c r="A703" s="75"/>
    </row>
    <row r="704" spans="1:1" ht="15.75" customHeight="1">
      <c r="A704" s="75"/>
    </row>
    <row r="705" spans="1:1" ht="15.75" customHeight="1">
      <c r="A705" s="75"/>
    </row>
    <row r="706" spans="1:1" ht="15.75" customHeight="1">
      <c r="A706" s="75"/>
    </row>
    <row r="707" spans="1:1" ht="15.75" customHeight="1">
      <c r="A707" s="75"/>
    </row>
    <row r="708" spans="1:1" ht="15.75" customHeight="1">
      <c r="A708" s="75"/>
    </row>
    <row r="709" spans="1:1" ht="15.75" customHeight="1">
      <c r="A709" s="75"/>
    </row>
    <row r="710" spans="1:1" ht="15.75" customHeight="1">
      <c r="A710" s="75"/>
    </row>
    <row r="711" spans="1:1" ht="15.75" customHeight="1">
      <c r="A711" s="75"/>
    </row>
    <row r="712" spans="1:1" ht="15.75" customHeight="1">
      <c r="A712" s="75"/>
    </row>
    <row r="713" spans="1:1" ht="15.75" customHeight="1">
      <c r="A713" s="75"/>
    </row>
    <row r="714" spans="1:1" ht="15.75" customHeight="1">
      <c r="A714" s="75"/>
    </row>
    <row r="715" spans="1:1" ht="15.75" customHeight="1">
      <c r="A715" s="75"/>
    </row>
    <row r="716" spans="1:1" ht="15.75" customHeight="1">
      <c r="A716" s="75"/>
    </row>
    <row r="717" spans="1:1" ht="15.75" customHeight="1">
      <c r="A717" s="75"/>
    </row>
    <row r="718" spans="1:1" ht="15.75" customHeight="1">
      <c r="A718" s="75"/>
    </row>
    <row r="719" spans="1:1" ht="15.75" customHeight="1">
      <c r="A719" s="75"/>
    </row>
    <row r="720" spans="1:1" ht="15.75" customHeight="1">
      <c r="A720" s="75"/>
    </row>
    <row r="721" spans="1:1" ht="15.75" customHeight="1">
      <c r="A721" s="75"/>
    </row>
    <row r="722" spans="1:1" ht="15.75" customHeight="1">
      <c r="A722" s="75"/>
    </row>
    <row r="723" spans="1:1" ht="15.75" customHeight="1">
      <c r="A723" s="75"/>
    </row>
    <row r="724" spans="1:1" ht="15.75" customHeight="1">
      <c r="A724" s="75"/>
    </row>
    <row r="725" spans="1:1" ht="15.75" customHeight="1">
      <c r="A725" s="75"/>
    </row>
    <row r="726" spans="1:1" ht="15.75" customHeight="1">
      <c r="A726" s="75"/>
    </row>
    <row r="727" spans="1:1" ht="15.75" customHeight="1">
      <c r="A727" s="75"/>
    </row>
    <row r="728" spans="1:1" ht="15.75" customHeight="1">
      <c r="A728" s="75"/>
    </row>
    <row r="729" spans="1:1" ht="15.75" customHeight="1">
      <c r="A729" s="75"/>
    </row>
    <row r="730" spans="1:1" ht="15.75" customHeight="1">
      <c r="A730" s="75"/>
    </row>
    <row r="731" spans="1:1" ht="15.75" customHeight="1">
      <c r="A731" s="75"/>
    </row>
    <row r="732" spans="1:1" ht="15.75" customHeight="1">
      <c r="A732" s="75"/>
    </row>
    <row r="733" spans="1:1" ht="15.75" customHeight="1">
      <c r="A733" s="75"/>
    </row>
    <row r="734" spans="1:1" ht="15.75" customHeight="1">
      <c r="A734" s="75"/>
    </row>
    <row r="735" spans="1:1" ht="15.75" customHeight="1">
      <c r="A735" s="75"/>
    </row>
    <row r="736" spans="1:1" ht="15.75" customHeight="1">
      <c r="A736" s="75"/>
    </row>
    <row r="737" spans="1:1" ht="15.75" customHeight="1">
      <c r="A737" s="75"/>
    </row>
    <row r="738" spans="1:1" ht="15.75" customHeight="1">
      <c r="A738" s="75"/>
    </row>
    <row r="739" spans="1:1" ht="15.75" customHeight="1">
      <c r="A739" s="75"/>
    </row>
    <row r="740" spans="1:1" ht="15.75" customHeight="1">
      <c r="A740" s="75"/>
    </row>
    <row r="741" spans="1:1" ht="15.75" customHeight="1">
      <c r="A741" s="75"/>
    </row>
    <row r="742" spans="1:1" ht="15.75" customHeight="1">
      <c r="A742" s="75"/>
    </row>
    <row r="743" spans="1:1" ht="15.75" customHeight="1">
      <c r="A743" s="75"/>
    </row>
    <row r="744" spans="1:1" ht="15.75" customHeight="1">
      <c r="A744" s="75"/>
    </row>
    <row r="745" spans="1:1" ht="15.75" customHeight="1">
      <c r="A745" s="75"/>
    </row>
    <row r="746" spans="1:1" ht="15.75" customHeight="1">
      <c r="A746" s="75"/>
    </row>
    <row r="747" spans="1:1" ht="15.75" customHeight="1">
      <c r="A747" s="75"/>
    </row>
    <row r="748" spans="1:1" ht="15.75" customHeight="1">
      <c r="A748" s="75"/>
    </row>
    <row r="749" spans="1:1" ht="15.75" customHeight="1">
      <c r="A749" s="75"/>
    </row>
    <row r="750" spans="1:1" ht="15.75" customHeight="1">
      <c r="A750" s="75"/>
    </row>
    <row r="751" spans="1:1" ht="15.75" customHeight="1">
      <c r="A751" s="75"/>
    </row>
    <row r="752" spans="1:1" ht="15.75" customHeight="1">
      <c r="A752" s="75"/>
    </row>
    <row r="753" spans="1:1" ht="15.75" customHeight="1">
      <c r="A753" s="75"/>
    </row>
    <row r="754" spans="1:1" ht="15.75" customHeight="1">
      <c r="A754" s="75"/>
    </row>
    <row r="755" spans="1:1" ht="15.75" customHeight="1">
      <c r="A755" s="75"/>
    </row>
    <row r="756" spans="1:1" ht="15.75" customHeight="1">
      <c r="A756" s="75"/>
    </row>
    <row r="757" spans="1:1" ht="15.75" customHeight="1">
      <c r="A757" s="75"/>
    </row>
    <row r="758" spans="1:1" ht="15.75" customHeight="1">
      <c r="A758" s="75"/>
    </row>
    <row r="759" spans="1:1" ht="15.75" customHeight="1">
      <c r="A759" s="75"/>
    </row>
    <row r="760" spans="1:1" ht="15.75" customHeight="1">
      <c r="A760" s="75"/>
    </row>
    <row r="761" spans="1:1" ht="15.75" customHeight="1">
      <c r="A761" s="75"/>
    </row>
    <row r="762" spans="1:1" ht="15.75" customHeight="1">
      <c r="A762" s="75"/>
    </row>
    <row r="763" spans="1:1" ht="15.75" customHeight="1">
      <c r="A763" s="75"/>
    </row>
    <row r="764" spans="1:1" ht="15.75" customHeight="1">
      <c r="A764" s="75"/>
    </row>
    <row r="765" spans="1:1" ht="15.75" customHeight="1">
      <c r="A765" s="75"/>
    </row>
    <row r="766" spans="1:1" ht="15.75" customHeight="1">
      <c r="A766" s="75"/>
    </row>
    <row r="767" spans="1:1" ht="15.75" customHeight="1">
      <c r="A767" s="75"/>
    </row>
    <row r="768" spans="1:1" ht="15.75" customHeight="1">
      <c r="A768" s="75"/>
    </row>
    <row r="769" spans="1:1" ht="15.75" customHeight="1">
      <c r="A769" s="75"/>
    </row>
    <row r="770" spans="1:1" ht="15.75" customHeight="1">
      <c r="A770" s="75"/>
    </row>
    <row r="771" spans="1:1" ht="15.75" customHeight="1">
      <c r="A771" s="75"/>
    </row>
    <row r="772" spans="1:1" ht="15.75" customHeight="1">
      <c r="A772" s="75"/>
    </row>
    <row r="773" spans="1:1" ht="15.75" customHeight="1">
      <c r="A773" s="75"/>
    </row>
    <row r="774" spans="1:1" ht="15.75" customHeight="1">
      <c r="A774" s="75"/>
    </row>
    <row r="775" spans="1:1" ht="15.75" customHeight="1">
      <c r="A775" s="75"/>
    </row>
    <row r="776" spans="1:1" ht="15.75" customHeight="1">
      <c r="A776" s="75"/>
    </row>
    <row r="777" spans="1:1" ht="15.75" customHeight="1">
      <c r="A777" s="75"/>
    </row>
    <row r="778" spans="1:1" ht="15.75" customHeight="1">
      <c r="A778" s="75"/>
    </row>
    <row r="779" spans="1:1" ht="15.75" customHeight="1">
      <c r="A779" s="75"/>
    </row>
    <row r="780" spans="1:1" ht="15.75" customHeight="1">
      <c r="A780" s="75"/>
    </row>
    <row r="781" spans="1:1" ht="15.75" customHeight="1">
      <c r="A781" s="75"/>
    </row>
    <row r="782" spans="1:1" ht="15.75" customHeight="1">
      <c r="A782" s="75"/>
    </row>
    <row r="783" spans="1:1" ht="15.75" customHeight="1">
      <c r="A783" s="75"/>
    </row>
    <row r="784" spans="1:1" ht="15.75" customHeight="1">
      <c r="A784" s="75"/>
    </row>
    <row r="785" spans="1:1" ht="15.75" customHeight="1">
      <c r="A785" s="75"/>
    </row>
    <row r="786" spans="1:1" ht="15.75" customHeight="1">
      <c r="A786" s="75"/>
    </row>
    <row r="787" spans="1:1" ht="15.75" customHeight="1">
      <c r="A787" s="75"/>
    </row>
    <row r="788" spans="1:1" ht="15.75" customHeight="1">
      <c r="A788" s="75"/>
    </row>
    <row r="789" spans="1:1" ht="15.75" customHeight="1">
      <c r="A789" s="75"/>
    </row>
    <row r="790" spans="1:1" ht="15.75" customHeight="1">
      <c r="A790" s="75"/>
    </row>
    <row r="791" spans="1:1" ht="15.75" customHeight="1">
      <c r="A791" s="75"/>
    </row>
    <row r="792" spans="1:1" ht="15.75" customHeight="1">
      <c r="A792" s="75"/>
    </row>
    <row r="793" spans="1:1" ht="15.75" customHeight="1">
      <c r="A793" s="75"/>
    </row>
    <row r="794" spans="1:1" ht="15.75" customHeight="1">
      <c r="A794" s="75"/>
    </row>
    <row r="795" spans="1:1" ht="15.75" customHeight="1">
      <c r="A795" s="75"/>
    </row>
    <row r="796" spans="1:1" ht="15.75" customHeight="1">
      <c r="A796" s="75"/>
    </row>
    <row r="797" spans="1:1" ht="15.75" customHeight="1">
      <c r="A797" s="75"/>
    </row>
    <row r="798" spans="1:1" ht="15.75" customHeight="1">
      <c r="A798" s="75"/>
    </row>
    <row r="799" spans="1:1" ht="15.75" customHeight="1">
      <c r="A799" s="75"/>
    </row>
    <row r="800" spans="1:1" ht="15.75" customHeight="1">
      <c r="A800" s="75"/>
    </row>
    <row r="801" spans="1:1" ht="15.75" customHeight="1">
      <c r="A801" s="75"/>
    </row>
    <row r="802" spans="1:1" ht="15.75" customHeight="1">
      <c r="A802" s="75"/>
    </row>
    <row r="803" spans="1:1" ht="15.75" customHeight="1">
      <c r="A803" s="75"/>
    </row>
    <row r="804" spans="1:1" ht="15.75" customHeight="1">
      <c r="A804" s="75"/>
    </row>
    <row r="805" spans="1:1" ht="15.75" customHeight="1">
      <c r="A805" s="75"/>
    </row>
    <row r="806" spans="1:1" ht="15.75" customHeight="1">
      <c r="A806" s="75"/>
    </row>
    <row r="807" spans="1:1" ht="15.75" customHeight="1">
      <c r="A807" s="75"/>
    </row>
    <row r="808" spans="1:1" ht="15.75" customHeight="1">
      <c r="A808" s="75"/>
    </row>
    <row r="809" spans="1:1" ht="15.75" customHeight="1">
      <c r="A809" s="75"/>
    </row>
    <row r="810" spans="1:1" ht="15.75" customHeight="1">
      <c r="A810" s="75"/>
    </row>
    <row r="811" spans="1:1" ht="15.75" customHeight="1">
      <c r="A811" s="75"/>
    </row>
    <row r="812" spans="1:1" ht="15.75" customHeight="1">
      <c r="A812" s="75"/>
    </row>
    <row r="813" spans="1:1" ht="15.75" customHeight="1">
      <c r="A813" s="75"/>
    </row>
    <row r="814" spans="1:1" ht="15.75" customHeight="1">
      <c r="A814" s="75"/>
    </row>
    <row r="815" spans="1:1" ht="15.75" customHeight="1">
      <c r="A815" s="75"/>
    </row>
    <row r="816" spans="1:1" ht="15.75" customHeight="1">
      <c r="A816" s="75"/>
    </row>
    <row r="817" spans="1:1" ht="15.75" customHeight="1">
      <c r="A817" s="75"/>
    </row>
    <row r="818" spans="1:1" ht="15.75" customHeight="1">
      <c r="A818" s="75"/>
    </row>
    <row r="819" spans="1:1" ht="15.75" customHeight="1">
      <c r="A819" s="75"/>
    </row>
    <row r="820" spans="1:1" ht="15.75" customHeight="1">
      <c r="A820" s="75"/>
    </row>
    <row r="821" spans="1:1" ht="15.75" customHeight="1">
      <c r="A821" s="75"/>
    </row>
    <row r="822" spans="1:1" ht="15.75" customHeight="1">
      <c r="A822" s="75"/>
    </row>
    <row r="823" spans="1:1" ht="15.75" customHeight="1">
      <c r="A823" s="75"/>
    </row>
    <row r="824" spans="1:1" ht="15.75" customHeight="1">
      <c r="A824" s="75"/>
    </row>
    <row r="825" spans="1:1" ht="15.75" customHeight="1">
      <c r="A825" s="75"/>
    </row>
    <row r="826" spans="1:1" ht="15.75" customHeight="1">
      <c r="A826" s="75"/>
    </row>
    <row r="827" spans="1:1" ht="15.75" customHeight="1">
      <c r="A827" s="75"/>
    </row>
    <row r="828" spans="1:1" ht="15.75" customHeight="1">
      <c r="A828" s="75"/>
    </row>
    <row r="829" spans="1:1" ht="15.75" customHeight="1">
      <c r="A829" s="75"/>
    </row>
    <row r="830" spans="1:1" ht="15.75" customHeight="1">
      <c r="A830" s="75"/>
    </row>
    <row r="831" spans="1:1" ht="15.75" customHeight="1">
      <c r="A831" s="75"/>
    </row>
    <row r="832" spans="1:1" ht="15.75" customHeight="1">
      <c r="A832" s="75"/>
    </row>
    <row r="833" spans="1:1" ht="15.75" customHeight="1">
      <c r="A833" s="75"/>
    </row>
    <row r="834" spans="1:1" ht="15.75" customHeight="1">
      <c r="A834" s="75"/>
    </row>
    <row r="835" spans="1:1" ht="15.75" customHeight="1">
      <c r="A835" s="75"/>
    </row>
    <row r="836" spans="1:1" ht="15.75" customHeight="1">
      <c r="A836" s="75"/>
    </row>
    <row r="837" spans="1:1" ht="15.75" customHeight="1">
      <c r="A837" s="75"/>
    </row>
    <row r="838" spans="1:1" ht="15.75" customHeight="1">
      <c r="A838" s="75"/>
    </row>
    <row r="839" spans="1:1" ht="15.75" customHeight="1">
      <c r="A839" s="75"/>
    </row>
    <row r="840" spans="1:1" ht="15.75" customHeight="1">
      <c r="A840" s="75"/>
    </row>
    <row r="841" spans="1:1" ht="15.75" customHeight="1">
      <c r="A841" s="75"/>
    </row>
    <row r="842" spans="1:1" ht="15.75" customHeight="1">
      <c r="A842" s="75"/>
    </row>
    <row r="843" spans="1:1" ht="15.75" customHeight="1">
      <c r="A843" s="75"/>
    </row>
    <row r="844" spans="1:1" ht="15.75" customHeight="1">
      <c r="A844" s="75"/>
    </row>
    <row r="845" spans="1:1" ht="15.75" customHeight="1">
      <c r="A845" s="75"/>
    </row>
    <row r="846" spans="1:1" ht="15.75" customHeight="1">
      <c r="A846" s="75"/>
    </row>
    <row r="847" spans="1:1" ht="15.75" customHeight="1">
      <c r="A847" s="75"/>
    </row>
    <row r="848" spans="1:1" ht="15.75" customHeight="1">
      <c r="A848" s="75"/>
    </row>
    <row r="849" spans="1:1" ht="15.75" customHeight="1">
      <c r="A849" s="75"/>
    </row>
    <row r="850" spans="1:1" ht="15.75" customHeight="1">
      <c r="A850" s="75"/>
    </row>
    <row r="851" spans="1:1" ht="15.75" customHeight="1">
      <c r="A851" s="75"/>
    </row>
    <row r="852" spans="1:1" ht="15.75" customHeight="1">
      <c r="A852" s="75"/>
    </row>
    <row r="853" spans="1:1" ht="15.75" customHeight="1">
      <c r="A853" s="75"/>
    </row>
    <row r="854" spans="1:1" ht="15.75" customHeight="1">
      <c r="A854" s="75"/>
    </row>
    <row r="855" spans="1:1" ht="15.75" customHeight="1">
      <c r="A855" s="75"/>
    </row>
    <row r="856" spans="1:1" ht="15.75" customHeight="1">
      <c r="A856" s="75"/>
    </row>
    <row r="857" spans="1:1" ht="15.75" customHeight="1">
      <c r="A857" s="75"/>
    </row>
    <row r="858" spans="1:1" ht="15.75" customHeight="1">
      <c r="A858" s="75"/>
    </row>
    <row r="859" spans="1:1" ht="15.75" customHeight="1">
      <c r="A859" s="75"/>
    </row>
    <row r="860" spans="1:1" ht="15.75" customHeight="1">
      <c r="A860" s="75"/>
    </row>
    <row r="861" spans="1:1" ht="15.75" customHeight="1">
      <c r="A861" s="75"/>
    </row>
    <row r="862" spans="1:1" ht="15.75" customHeight="1">
      <c r="A862" s="75"/>
    </row>
    <row r="863" spans="1:1" ht="15.75" customHeight="1">
      <c r="A863" s="75"/>
    </row>
    <row r="864" spans="1:1" ht="15.75" customHeight="1">
      <c r="A864" s="75"/>
    </row>
    <row r="865" spans="1:1" ht="15.75" customHeight="1">
      <c r="A865" s="75"/>
    </row>
    <row r="866" spans="1:1" ht="15.75" customHeight="1">
      <c r="A866" s="75"/>
    </row>
    <row r="867" spans="1:1" ht="15.75" customHeight="1">
      <c r="A867" s="75"/>
    </row>
    <row r="868" spans="1:1" ht="15.75" customHeight="1">
      <c r="A868" s="75"/>
    </row>
    <row r="869" spans="1:1" ht="15.75" customHeight="1">
      <c r="A869" s="75"/>
    </row>
    <row r="870" spans="1:1" ht="15.75" customHeight="1">
      <c r="A870" s="75"/>
    </row>
    <row r="871" spans="1:1" ht="15.75" customHeight="1">
      <c r="A871" s="75"/>
    </row>
    <row r="872" spans="1:1" ht="15.75" customHeight="1">
      <c r="A872" s="75"/>
    </row>
    <row r="873" spans="1:1" ht="15.75" customHeight="1">
      <c r="A873" s="75"/>
    </row>
    <row r="874" spans="1:1" ht="15.75" customHeight="1">
      <c r="A874" s="75"/>
    </row>
    <row r="875" spans="1:1" ht="15.75" customHeight="1">
      <c r="A875" s="75"/>
    </row>
    <row r="876" spans="1:1" ht="15.75" customHeight="1">
      <c r="A876" s="75"/>
    </row>
    <row r="877" spans="1:1" ht="15.75" customHeight="1">
      <c r="A877" s="75"/>
    </row>
    <row r="878" spans="1:1" ht="15.75" customHeight="1">
      <c r="A878" s="75"/>
    </row>
    <row r="879" spans="1:1" ht="15.75" customHeight="1">
      <c r="A879" s="75"/>
    </row>
    <row r="880" spans="1:1" ht="15.75" customHeight="1">
      <c r="A880" s="75"/>
    </row>
    <row r="881" spans="1:1" ht="15.75" customHeight="1">
      <c r="A881" s="75"/>
    </row>
    <row r="882" spans="1:1" ht="15.75" customHeight="1">
      <c r="A882" s="75"/>
    </row>
    <row r="883" spans="1:1" ht="15.75" customHeight="1">
      <c r="A883" s="75"/>
    </row>
    <row r="884" spans="1:1" ht="15.75" customHeight="1">
      <c r="A884" s="75"/>
    </row>
    <row r="885" spans="1:1" ht="15.75" customHeight="1">
      <c r="A885" s="75"/>
    </row>
    <row r="886" spans="1:1" ht="15.75" customHeight="1">
      <c r="A886" s="75"/>
    </row>
    <row r="887" spans="1:1" ht="15.75" customHeight="1">
      <c r="A887" s="75"/>
    </row>
    <row r="888" spans="1:1" ht="15.75" customHeight="1">
      <c r="A888" s="75"/>
    </row>
    <row r="889" spans="1:1" ht="15.75" customHeight="1">
      <c r="A889" s="75"/>
    </row>
    <row r="890" spans="1:1" ht="15.75" customHeight="1">
      <c r="A890" s="75"/>
    </row>
    <row r="891" spans="1:1" ht="15.75" customHeight="1">
      <c r="A891" s="75"/>
    </row>
    <row r="892" spans="1:1" ht="15.75" customHeight="1">
      <c r="A892" s="75"/>
    </row>
    <row r="893" spans="1:1" ht="15.75" customHeight="1">
      <c r="A893" s="75"/>
    </row>
    <row r="894" spans="1:1" ht="15.75" customHeight="1">
      <c r="A894" s="75"/>
    </row>
    <row r="895" spans="1:1" ht="15.75" customHeight="1">
      <c r="A895" s="75"/>
    </row>
    <row r="896" spans="1:1" ht="15.75" customHeight="1">
      <c r="A896" s="75"/>
    </row>
    <row r="897" spans="1:1" ht="15.75" customHeight="1">
      <c r="A897" s="75"/>
    </row>
    <row r="898" spans="1:1" ht="15.75" customHeight="1">
      <c r="A898" s="75"/>
    </row>
    <row r="899" spans="1:1" ht="15.75" customHeight="1">
      <c r="A899" s="75"/>
    </row>
    <row r="900" spans="1:1" ht="15.75" customHeight="1">
      <c r="A900" s="75"/>
    </row>
    <row r="901" spans="1:1" ht="15.75" customHeight="1">
      <c r="A901" s="75"/>
    </row>
    <row r="902" spans="1:1" ht="15.75" customHeight="1">
      <c r="A902" s="75"/>
    </row>
    <row r="903" spans="1:1" ht="15.75" customHeight="1">
      <c r="A903" s="75"/>
    </row>
    <row r="904" spans="1:1" ht="15.75" customHeight="1">
      <c r="A904" s="75"/>
    </row>
    <row r="905" spans="1:1" ht="15.75" customHeight="1">
      <c r="A905" s="75"/>
    </row>
    <row r="906" spans="1:1" ht="15.75" customHeight="1">
      <c r="A906" s="75"/>
    </row>
    <row r="907" spans="1:1" ht="15.75" customHeight="1">
      <c r="A907" s="75"/>
    </row>
    <row r="908" spans="1:1" ht="15.75" customHeight="1">
      <c r="A908" s="75"/>
    </row>
    <row r="909" spans="1:1" ht="15.75" customHeight="1">
      <c r="A909" s="75"/>
    </row>
    <row r="910" spans="1:1" ht="15.75" customHeight="1">
      <c r="A910" s="75"/>
    </row>
    <row r="911" spans="1:1" ht="15.75" customHeight="1">
      <c r="A911" s="75"/>
    </row>
    <row r="912" spans="1:1" ht="15.75" customHeight="1">
      <c r="A912" s="75"/>
    </row>
    <row r="913" spans="1:1" ht="15.75" customHeight="1">
      <c r="A913" s="75"/>
    </row>
    <row r="914" spans="1:1" ht="15.75" customHeight="1">
      <c r="A914" s="75"/>
    </row>
    <row r="915" spans="1:1" ht="15.75" customHeight="1">
      <c r="A915" s="75"/>
    </row>
    <row r="916" spans="1:1" ht="15.75" customHeight="1">
      <c r="A916" s="75"/>
    </row>
    <row r="917" spans="1:1" ht="15.75" customHeight="1">
      <c r="A917" s="75"/>
    </row>
    <row r="918" spans="1:1" ht="15.75" customHeight="1">
      <c r="A918" s="75"/>
    </row>
    <row r="919" spans="1:1" ht="15.75" customHeight="1">
      <c r="A919" s="75"/>
    </row>
    <row r="920" spans="1:1" ht="15.75" customHeight="1">
      <c r="A920" s="75"/>
    </row>
    <row r="921" spans="1:1" ht="15.75" customHeight="1">
      <c r="A921" s="75"/>
    </row>
    <row r="922" spans="1:1" ht="15.75" customHeight="1">
      <c r="A922" s="75"/>
    </row>
    <row r="923" spans="1:1" ht="15.75" customHeight="1">
      <c r="A923" s="75"/>
    </row>
    <row r="924" spans="1:1" ht="15.75" customHeight="1">
      <c r="A924" s="75"/>
    </row>
    <row r="925" spans="1:1" ht="15.75" customHeight="1">
      <c r="A925" s="75"/>
    </row>
    <row r="926" spans="1:1" ht="15.75" customHeight="1">
      <c r="A926" s="75"/>
    </row>
    <row r="927" spans="1:1" ht="15.75" customHeight="1">
      <c r="A927" s="75"/>
    </row>
    <row r="928" spans="1:1" ht="15.75" customHeight="1">
      <c r="A928" s="75"/>
    </row>
    <row r="929" spans="1:1" ht="15.75" customHeight="1">
      <c r="A929" s="75"/>
    </row>
    <row r="930" spans="1:1" ht="15.75" customHeight="1">
      <c r="A930" s="75"/>
    </row>
    <row r="931" spans="1:1" ht="15.75" customHeight="1">
      <c r="A931" s="75"/>
    </row>
    <row r="932" spans="1:1" ht="15.75" customHeight="1">
      <c r="A932" s="75"/>
    </row>
    <row r="933" spans="1:1" ht="15.75" customHeight="1">
      <c r="A933" s="75"/>
    </row>
    <row r="934" spans="1:1" ht="15.75" customHeight="1">
      <c r="A934" s="75"/>
    </row>
    <row r="935" spans="1:1" ht="15.75" customHeight="1">
      <c r="A935" s="75"/>
    </row>
    <row r="936" spans="1:1" ht="15.75" customHeight="1">
      <c r="A936" s="75"/>
    </row>
    <row r="937" spans="1:1" ht="15.75" customHeight="1">
      <c r="A937" s="75"/>
    </row>
    <row r="938" spans="1:1" ht="15.75" customHeight="1">
      <c r="A938" s="75"/>
    </row>
    <row r="939" spans="1:1" ht="15.75" customHeight="1">
      <c r="A939" s="75"/>
    </row>
    <row r="940" spans="1:1" ht="15.75" customHeight="1">
      <c r="A940" s="75"/>
    </row>
    <row r="941" spans="1:1" ht="15.75" customHeight="1">
      <c r="A941" s="75"/>
    </row>
    <row r="942" spans="1:1" ht="15.75" customHeight="1">
      <c r="A942" s="75"/>
    </row>
    <row r="943" spans="1:1" ht="15.75" customHeight="1">
      <c r="A943" s="75"/>
    </row>
    <row r="944" spans="1:1" ht="15.75" customHeight="1">
      <c r="A944" s="75"/>
    </row>
    <row r="945" spans="1:1" ht="15.75" customHeight="1">
      <c r="A945" s="75"/>
    </row>
    <row r="946" spans="1:1" ht="15.75" customHeight="1">
      <c r="A946" s="75"/>
    </row>
    <row r="947" spans="1:1" ht="15.75" customHeight="1">
      <c r="A947" s="75"/>
    </row>
    <row r="948" spans="1:1" ht="15.75" customHeight="1">
      <c r="A948" s="75"/>
    </row>
    <row r="949" spans="1:1" ht="15.75" customHeight="1">
      <c r="A949" s="75"/>
    </row>
    <row r="950" spans="1:1" ht="15.75" customHeight="1">
      <c r="A950" s="75"/>
    </row>
    <row r="951" spans="1:1" ht="15.75" customHeight="1">
      <c r="A951" s="75"/>
    </row>
    <row r="952" spans="1:1" ht="15.75" customHeight="1">
      <c r="A952" s="75"/>
    </row>
    <row r="953" spans="1:1" ht="15.75" customHeight="1">
      <c r="A953" s="75"/>
    </row>
    <row r="954" spans="1:1" ht="15.75" customHeight="1">
      <c r="A954" s="75"/>
    </row>
    <row r="955" spans="1:1" ht="15.75" customHeight="1">
      <c r="A955" s="75"/>
    </row>
    <row r="956" spans="1:1" ht="15.75" customHeight="1">
      <c r="A956" s="75"/>
    </row>
    <row r="957" spans="1:1" ht="15.75" customHeight="1">
      <c r="A957" s="75"/>
    </row>
    <row r="958" spans="1:1" ht="15.75" customHeight="1">
      <c r="A958" s="75"/>
    </row>
    <row r="959" spans="1:1" ht="15.75" customHeight="1">
      <c r="A959" s="75"/>
    </row>
    <row r="960" spans="1:1" ht="15.75" customHeight="1">
      <c r="A960" s="75"/>
    </row>
    <row r="961" spans="1:1" ht="15.75" customHeight="1">
      <c r="A961" s="75"/>
    </row>
    <row r="962" spans="1:1" ht="15.75" customHeight="1">
      <c r="A962" s="75"/>
    </row>
    <row r="963" spans="1:1" ht="15.75" customHeight="1">
      <c r="A963" s="75"/>
    </row>
    <row r="964" spans="1:1" ht="15.75" customHeight="1">
      <c r="A964" s="75"/>
    </row>
    <row r="965" spans="1:1" ht="15.75" customHeight="1">
      <c r="A965" s="75"/>
    </row>
    <row r="966" spans="1:1" ht="15.75" customHeight="1">
      <c r="A966" s="75"/>
    </row>
    <row r="967" spans="1:1" ht="15.75" customHeight="1">
      <c r="A967" s="75"/>
    </row>
    <row r="968" spans="1:1" ht="15.75" customHeight="1">
      <c r="A968" s="75"/>
    </row>
    <row r="969" spans="1:1" ht="15.75" customHeight="1">
      <c r="A969" s="75"/>
    </row>
    <row r="970" spans="1:1" ht="15.75" customHeight="1">
      <c r="A970" s="75"/>
    </row>
    <row r="971" spans="1:1" ht="15.75" customHeight="1">
      <c r="A971" s="75"/>
    </row>
    <row r="972" spans="1:1" ht="15.75" customHeight="1">
      <c r="A972" s="75"/>
    </row>
    <row r="973" spans="1:1" ht="15.75" customHeight="1">
      <c r="A973" s="75"/>
    </row>
    <row r="974" spans="1:1" ht="15.75" customHeight="1">
      <c r="A974" s="75"/>
    </row>
    <row r="975" spans="1:1" ht="15.75" customHeight="1">
      <c r="A975" s="75"/>
    </row>
    <row r="976" spans="1:1" ht="15.75" customHeight="1">
      <c r="A976" s="75"/>
    </row>
    <row r="977" spans="1:1" ht="15.75" customHeight="1">
      <c r="A977" s="75"/>
    </row>
    <row r="978" spans="1:1" ht="15.75" customHeight="1">
      <c r="A978" s="75"/>
    </row>
    <row r="979" spans="1:1" ht="15.75" customHeight="1">
      <c r="A979" s="75"/>
    </row>
    <row r="980" spans="1:1" ht="15.75" customHeight="1">
      <c r="A980" s="75"/>
    </row>
    <row r="981" spans="1:1" ht="15.75" customHeight="1">
      <c r="A981" s="75"/>
    </row>
    <row r="982" spans="1:1" ht="15.75" customHeight="1">
      <c r="A982" s="75"/>
    </row>
    <row r="983" spans="1:1" ht="15.75" customHeight="1">
      <c r="A983" s="75"/>
    </row>
    <row r="984" spans="1:1" ht="15.75" customHeight="1">
      <c r="A984" s="75"/>
    </row>
    <row r="985" spans="1:1" ht="15.75" customHeight="1">
      <c r="A985" s="75"/>
    </row>
    <row r="986" spans="1:1" ht="15.75" customHeight="1">
      <c r="A986" s="75"/>
    </row>
    <row r="987" spans="1:1" ht="15.75" customHeight="1">
      <c r="A987" s="75"/>
    </row>
    <row r="988" spans="1:1" ht="15.75" customHeight="1">
      <c r="A988" s="75"/>
    </row>
    <row r="989" spans="1:1" ht="15.75" customHeight="1">
      <c r="A989" s="75"/>
    </row>
    <row r="990" spans="1:1" ht="15.75" customHeight="1">
      <c r="A990" s="75"/>
    </row>
    <row r="991" spans="1:1" ht="15.75" customHeight="1">
      <c r="A991" s="75"/>
    </row>
    <row r="992" spans="1:1" ht="15.75" customHeight="1">
      <c r="A992" s="75"/>
    </row>
    <row r="993" spans="1:1" ht="15.75" customHeight="1">
      <c r="A993" s="75"/>
    </row>
    <row r="994" spans="1:1" ht="15.75" customHeight="1">
      <c r="A994" s="75"/>
    </row>
    <row r="995" spans="1:1" ht="15.75" customHeight="1">
      <c r="A995" s="75"/>
    </row>
    <row r="996" spans="1:1" ht="15.75" customHeight="1">
      <c r="A996" s="75"/>
    </row>
    <row r="997" spans="1:1" ht="15.75" customHeight="1">
      <c r="A997" s="75"/>
    </row>
    <row r="998" spans="1:1" ht="15.75" customHeight="1">
      <c r="A998" s="75"/>
    </row>
    <row r="999" spans="1:1" ht="15.75" customHeight="1">
      <c r="A999" s="75"/>
    </row>
    <row r="1000" spans="1:1" ht="15.75" customHeight="1">
      <c r="A1000" s="75"/>
    </row>
  </sheetData>
  <pageMargins left="0.7" right="0.7" top="0.75" bottom="0.75" header="0" footer="0"/>
  <pageSetup orientation="landscape"/>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C1000"/>
  <sheetViews>
    <sheetView workbookViewId="0"/>
  </sheetViews>
  <sheetFormatPr defaultColWidth="11.25" defaultRowHeight="15" customHeight="1"/>
  <cols>
    <col min="1" max="1" width="7.375" customWidth="1"/>
    <col min="2" max="2" width="53.375" customWidth="1"/>
    <col min="3" max="3" width="18.375" customWidth="1"/>
    <col min="4" max="6" width="8.75" customWidth="1"/>
    <col min="7" max="26" width="10" customWidth="1"/>
  </cols>
  <sheetData>
    <row r="1" spans="1:3" ht="66" customHeight="1">
      <c r="A1" s="83" t="s">
        <v>479</v>
      </c>
      <c r="B1" s="84"/>
      <c r="C1" s="85"/>
    </row>
    <row r="2" spans="1:3" ht="33" customHeight="1">
      <c r="A2" s="86" t="s">
        <v>480</v>
      </c>
      <c r="B2" s="81"/>
      <c r="C2" s="82"/>
    </row>
    <row r="3" spans="1:3" ht="30" customHeight="1">
      <c r="A3" s="16" t="s">
        <v>481</v>
      </c>
      <c r="B3" s="17" t="s">
        <v>482</v>
      </c>
      <c r="C3" s="18" t="s">
        <v>483</v>
      </c>
    </row>
    <row r="4" spans="1:3" ht="30" customHeight="1">
      <c r="A4" s="19">
        <v>1</v>
      </c>
      <c r="B4" s="17" t="s">
        <v>484</v>
      </c>
      <c r="C4" s="20"/>
    </row>
    <row r="5" spans="1:3" ht="45" customHeight="1">
      <c r="A5" s="19">
        <v>2</v>
      </c>
      <c r="B5" s="17" t="s">
        <v>485</v>
      </c>
      <c r="C5" s="20"/>
    </row>
    <row r="6" spans="1:3">
      <c r="A6" s="19"/>
      <c r="B6" s="15"/>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488</v>
      </c>
      <c r="C12" s="20"/>
    </row>
    <row r="13" spans="1:3" ht="66.75" customHeight="1">
      <c r="A13" s="19"/>
      <c r="B13" s="32"/>
      <c r="C13" s="20"/>
    </row>
    <row r="14" spans="1:3" ht="66.75" customHeight="1">
      <c r="A14" s="19"/>
      <c r="B14" s="3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C1000"/>
  <sheetViews>
    <sheetView workbookViewId="0"/>
  </sheetViews>
  <sheetFormatPr defaultColWidth="11.25" defaultRowHeight="15" customHeight="1"/>
  <cols>
    <col min="1" max="1" width="6.5" customWidth="1"/>
    <col min="2" max="2" width="53.375" customWidth="1"/>
    <col min="3" max="3" width="18.375" customWidth="1"/>
    <col min="4" max="6" width="8.75" customWidth="1"/>
    <col min="7" max="26" width="10" customWidth="1"/>
  </cols>
  <sheetData>
    <row r="1" spans="1:3" ht="69" customHeight="1">
      <c r="A1" s="83" t="s">
        <v>479</v>
      </c>
      <c r="B1" s="84"/>
      <c r="C1" s="85"/>
    </row>
    <row r="2" spans="1:3" ht="31.5" customHeight="1">
      <c r="A2" s="86" t="s">
        <v>489</v>
      </c>
      <c r="B2" s="81"/>
      <c r="C2" s="82"/>
    </row>
    <row r="3" spans="1:3" ht="30" customHeight="1">
      <c r="A3" s="16" t="s">
        <v>481</v>
      </c>
      <c r="B3" s="17" t="s">
        <v>482</v>
      </c>
      <c r="C3" s="18" t="s">
        <v>483</v>
      </c>
    </row>
    <row r="4" spans="1:3">
      <c r="A4" s="19"/>
      <c r="B4" s="15"/>
      <c r="C4" s="20"/>
    </row>
    <row r="5" spans="1:3">
      <c r="A5" s="19"/>
      <c r="B5" s="15"/>
      <c r="C5" s="20"/>
    </row>
    <row r="6" spans="1:3">
      <c r="A6" s="19"/>
      <c r="B6" s="15"/>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490</v>
      </c>
      <c r="C12" s="20"/>
    </row>
    <row r="13" spans="1:3" ht="66.75" customHeight="1">
      <c r="A13" s="19"/>
      <c r="B13" s="32"/>
      <c r="C13" s="20"/>
    </row>
    <row r="14" spans="1:3" ht="66.75" customHeight="1">
      <c r="A14" s="19"/>
      <c r="B14" s="3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C1000"/>
  <sheetViews>
    <sheetView workbookViewId="0"/>
  </sheetViews>
  <sheetFormatPr defaultColWidth="11.25" defaultRowHeight="15" customHeight="1"/>
  <cols>
    <col min="1" max="1" width="6.625" customWidth="1"/>
    <col min="2" max="2" width="53.375" customWidth="1"/>
    <col min="3" max="3" width="18.375" customWidth="1"/>
    <col min="4" max="6" width="8.75" customWidth="1"/>
    <col min="7" max="26" width="10" customWidth="1"/>
  </cols>
  <sheetData>
    <row r="1" spans="1:3" ht="63" customHeight="1">
      <c r="A1" s="83" t="s">
        <v>479</v>
      </c>
      <c r="B1" s="84"/>
      <c r="C1" s="85"/>
    </row>
    <row r="2" spans="1:3" ht="30.75" customHeight="1">
      <c r="A2" s="86" t="s">
        <v>491</v>
      </c>
      <c r="B2" s="81"/>
      <c r="C2" s="82"/>
    </row>
    <row r="3" spans="1:3" ht="30" customHeight="1">
      <c r="A3" s="16" t="s">
        <v>481</v>
      </c>
      <c r="B3" s="17" t="s">
        <v>482</v>
      </c>
      <c r="C3" s="18" t="s">
        <v>483</v>
      </c>
    </row>
    <row r="4" spans="1:3" ht="30" customHeight="1">
      <c r="A4" s="19">
        <v>1</v>
      </c>
      <c r="B4" s="17" t="s">
        <v>484</v>
      </c>
      <c r="C4" s="20"/>
    </row>
    <row r="5" spans="1:3" ht="45" customHeight="1">
      <c r="A5" s="19">
        <v>2</v>
      </c>
      <c r="B5" s="17" t="s">
        <v>485</v>
      </c>
      <c r="C5" s="20"/>
    </row>
    <row r="6" spans="1:3">
      <c r="A6" s="19"/>
      <c r="B6" s="15"/>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492</v>
      </c>
      <c r="C12" s="20"/>
    </row>
    <row r="13" spans="1:3" ht="66.75" customHeight="1">
      <c r="A13" s="19"/>
      <c r="B13" s="32"/>
      <c r="C13" s="20"/>
    </row>
    <row r="14" spans="1:3" ht="66.75" customHeight="1">
      <c r="A14" s="19"/>
      <c r="B14" s="3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C1000"/>
  <sheetViews>
    <sheetView workbookViewId="0"/>
  </sheetViews>
  <sheetFormatPr defaultColWidth="11.25" defaultRowHeight="15" customHeight="1"/>
  <cols>
    <col min="1" max="1" width="7.25" customWidth="1"/>
    <col min="2" max="2" width="53.375" customWidth="1"/>
    <col min="3" max="3" width="18.375" customWidth="1"/>
    <col min="4" max="6" width="8.75" customWidth="1"/>
    <col min="7" max="26" width="10" customWidth="1"/>
  </cols>
  <sheetData>
    <row r="1" spans="1:3" ht="75.75" customHeight="1">
      <c r="A1" s="83" t="s">
        <v>479</v>
      </c>
      <c r="B1" s="84"/>
      <c r="C1" s="85"/>
    </row>
    <row r="2" spans="1:3" ht="28.5" customHeight="1">
      <c r="A2" s="86" t="s">
        <v>493</v>
      </c>
      <c r="B2" s="81"/>
      <c r="C2" s="82"/>
    </row>
    <row r="3" spans="1:3" ht="30" customHeight="1">
      <c r="A3" s="16" t="s">
        <v>481</v>
      </c>
      <c r="B3" s="17" t="s">
        <v>482</v>
      </c>
      <c r="C3" s="18" t="s">
        <v>483</v>
      </c>
    </row>
    <row r="4" spans="1:3" ht="45" customHeight="1">
      <c r="A4" s="19">
        <v>1</v>
      </c>
      <c r="B4" s="17" t="s">
        <v>494</v>
      </c>
      <c r="C4" s="20"/>
    </row>
    <row r="5" spans="1:3" ht="45" customHeight="1">
      <c r="A5" s="19">
        <v>2</v>
      </c>
      <c r="B5" s="17" t="s">
        <v>495</v>
      </c>
      <c r="C5" s="20"/>
    </row>
    <row r="6" spans="1:3" ht="30" customHeight="1">
      <c r="A6" s="19">
        <v>3</v>
      </c>
      <c r="B6" s="17" t="s">
        <v>496</v>
      </c>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25.5" customHeight="1">
      <c r="A12" s="38">
        <v>1</v>
      </c>
      <c r="B12" s="22" t="s">
        <v>497</v>
      </c>
      <c r="C12" s="20"/>
    </row>
    <row r="13" spans="1:3" ht="66.75" customHeight="1">
      <c r="A13" s="19">
        <v>2</v>
      </c>
      <c r="B13" s="22" t="s">
        <v>498</v>
      </c>
      <c r="C13" s="20"/>
    </row>
    <row r="14" spans="1:3" ht="66.75" customHeight="1">
      <c r="A14" s="19"/>
      <c r="B14" s="3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C1000"/>
  <sheetViews>
    <sheetView workbookViewId="0"/>
  </sheetViews>
  <sheetFormatPr defaultColWidth="11.25" defaultRowHeight="15" customHeight="1"/>
  <cols>
    <col min="1" max="1" width="6.5" customWidth="1"/>
    <col min="2" max="2" width="53.375" customWidth="1"/>
    <col min="3" max="3" width="18.375" customWidth="1"/>
    <col min="4" max="6" width="8.75" customWidth="1"/>
    <col min="7" max="26" width="10" customWidth="1"/>
  </cols>
  <sheetData>
    <row r="1" spans="1:3" ht="63" customHeight="1">
      <c r="A1" s="83" t="s">
        <v>479</v>
      </c>
      <c r="B1" s="84"/>
      <c r="C1" s="85"/>
    </row>
    <row r="2" spans="1:3" ht="30.75" customHeight="1">
      <c r="A2" s="86" t="s">
        <v>499</v>
      </c>
      <c r="B2" s="81"/>
      <c r="C2" s="82"/>
    </row>
    <row r="3" spans="1:3" ht="30" customHeight="1">
      <c r="A3" s="16" t="s">
        <v>481</v>
      </c>
      <c r="B3" s="17" t="s">
        <v>482</v>
      </c>
      <c r="C3" s="18" t="s">
        <v>483</v>
      </c>
    </row>
    <row r="4" spans="1:3" ht="30" customHeight="1">
      <c r="A4" s="19">
        <v>1</v>
      </c>
      <c r="B4" s="17" t="s">
        <v>484</v>
      </c>
      <c r="C4" s="20"/>
    </row>
    <row r="5" spans="1:3" ht="45" customHeight="1">
      <c r="A5" s="19">
        <v>2</v>
      </c>
      <c r="B5" s="17" t="s">
        <v>485</v>
      </c>
      <c r="C5" s="20"/>
    </row>
    <row r="6" spans="1:3">
      <c r="A6" s="19"/>
      <c r="B6" s="15"/>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500</v>
      </c>
      <c r="C12" s="20"/>
    </row>
    <row r="13" spans="1:3" ht="66.75" customHeight="1">
      <c r="A13" s="19">
        <v>2</v>
      </c>
      <c r="B13" s="22" t="s">
        <v>501</v>
      </c>
      <c r="C13" s="20"/>
    </row>
    <row r="14" spans="1:3" ht="66.75" customHeight="1">
      <c r="A14" s="33"/>
      <c r="C14" s="34"/>
    </row>
    <row r="15" spans="1:3" ht="66.75" customHeight="1">
      <c r="A15" s="35"/>
      <c r="B15" s="36"/>
      <c r="C15" s="37"/>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Y1000"/>
  <sheetViews>
    <sheetView workbookViewId="0"/>
  </sheetViews>
  <sheetFormatPr defaultColWidth="11.25" defaultRowHeight="15" customHeight="1"/>
  <cols>
    <col min="1" max="1" width="7.625" customWidth="1"/>
    <col min="2" max="2" width="53.375" customWidth="1"/>
    <col min="3" max="3" width="59.25" customWidth="1"/>
    <col min="4" max="4" width="39.5" customWidth="1"/>
    <col min="5" max="5" width="54.75" customWidth="1"/>
    <col min="6" max="25" width="8.75" customWidth="1"/>
    <col min="26" max="26" width="10" customWidth="1"/>
  </cols>
  <sheetData>
    <row r="1" spans="1:25" ht="17.25" customHeight="1">
      <c r="A1" s="39"/>
      <c r="B1" s="40" t="s">
        <v>0</v>
      </c>
      <c r="C1" s="40" t="s">
        <v>1</v>
      </c>
      <c r="D1" s="40" t="s">
        <v>2</v>
      </c>
      <c r="E1" s="40" t="s">
        <v>3</v>
      </c>
      <c r="F1" s="41"/>
      <c r="G1" s="41"/>
      <c r="H1" s="41"/>
      <c r="I1" s="41"/>
      <c r="J1" s="41"/>
      <c r="K1" s="41"/>
      <c r="L1" s="41"/>
      <c r="M1" s="41"/>
      <c r="N1" s="41"/>
      <c r="O1" s="41"/>
      <c r="P1" s="41"/>
      <c r="Q1" s="41"/>
      <c r="R1" s="41"/>
      <c r="S1" s="41"/>
      <c r="T1" s="41"/>
      <c r="U1" s="41"/>
      <c r="V1" s="41"/>
      <c r="W1" s="41"/>
      <c r="X1" s="41"/>
      <c r="Y1" s="41"/>
    </row>
    <row r="2" spans="1:25" ht="30" customHeight="1">
      <c r="A2" s="42"/>
      <c r="B2" s="43" t="s">
        <v>502</v>
      </c>
      <c r="C2" s="43" t="s">
        <v>5</v>
      </c>
      <c r="D2" s="43" t="s">
        <v>6</v>
      </c>
      <c r="E2" s="43" t="s">
        <v>503</v>
      </c>
      <c r="F2" s="41"/>
      <c r="G2" s="41"/>
      <c r="H2" s="41"/>
      <c r="I2" s="41"/>
      <c r="J2" s="41"/>
      <c r="K2" s="41"/>
      <c r="L2" s="41"/>
      <c r="M2" s="41"/>
      <c r="N2" s="41"/>
      <c r="O2" s="41"/>
      <c r="P2" s="41"/>
      <c r="Q2" s="41"/>
      <c r="R2" s="41"/>
      <c r="S2" s="41"/>
      <c r="T2" s="41"/>
      <c r="U2" s="41"/>
      <c r="V2" s="41"/>
      <c r="W2" s="41"/>
      <c r="X2" s="41"/>
      <c r="Y2" s="41"/>
    </row>
    <row r="3" spans="1:25" ht="45.75" customHeight="1">
      <c r="A3" s="16" t="s">
        <v>481</v>
      </c>
      <c r="B3" s="17" t="s">
        <v>482</v>
      </c>
      <c r="C3" s="18" t="s">
        <v>483</v>
      </c>
    </row>
    <row r="4" spans="1:25">
      <c r="A4" s="19">
        <v>1</v>
      </c>
      <c r="B4" s="15" t="s">
        <v>504</v>
      </c>
      <c r="C4" s="20"/>
    </row>
    <row r="5" spans="1:25" ht="45" customHeight="1">
      <c r="A5" s="19">
        <v>2</v>
      </c>
      <c r="B5" s="17" t="s">
        <v>505</v>
      </c>
      <c r="C5" s="20"/>
    </row>
    <row r="6" spans="1:25" ht="45" customHeight="1">
      <c r="A6" s="19">
        <v>3</v>
      </c>
      <c r="B6" s="17" t="s">
        <v>506</v>
      </c>
      <c r="C6" s="20"/>
    </row>
    <row r="7" spans="1:25" ht="45" customHeight="1">
      <c r="A7" s="19">
        <v>4</v>
      </c>
      <c r="B7" s="17" t="s">
        <v>507</v>
      </c>
      <c r="C7" s="20"/>
    </row>
    <row r="8" spans="1:25">
      <c r="A8" s="19"/>
      <c r="B8" s="15"/>
      <c r="C8" s="20"/>
    </row>
    <row r="9" spans="1:25">
      <c r="A9" s="19"/>
      <c r="B9" s="15"/>
      <c r="C9" s="20"/>
    </row>
    <row r="10" spans="1:25">
      <c r="A10" s="19"/>
      <c r="B10" s="15"/>
      <c r="C10" s="20"/>
    </row>
    <row r="11" spans="1:25" ht="30" customHeight="1">
      <c r="A11" s="21" t="s">
        <v>475</v>
      </c>
      <c r="B11" s="21" t="s">
        <v>486</v>
      </c>
      <c r="C11" s="18" t="s">
        <v>487</v>
      </c>
    </row>
    <row r="12" spans="1:25" ht="66.75" customHeight="1">
      <c r="A12" s="19">
        <v>1</v>
      </c>
      <c r="B12" s="22" t="s">
        <v>508</v>
      </c>
      <c r="C12" s="44"/>
    </row>
    <row r="13" spans="1:25" ht="66.75" customHeight="1">
      <c r="A13" s="19"/>
      <c r="B13" s="22"/>
      <c r="C13" s="20"/>
    </row>
    <row r="14" spans="1:25" ht="66.75" customHeight="1">
      <c r="A14" s="33"/>
      <c r="C14" s="34"/>
    </row>
    <row r="15" spans="1:25" ht="66.75" customHeight="1">
      <c r="A15" s="35"/>
      <c r="B15" s="36"/>
      <c r="C15" s="37"/>
    </row>
    <row r="16" spans="1:25">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pageMargins left="0.7" right="0.7" top="0.75" bottom="0.75" header="0" footer="0"/>
  <pageSetup orientation="landscape"/>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C1000"/>
  <sheetViews>
    <sheetView workbookViewId="0"/>
  </sheetViews>
  <sheetFormatPr defaultColWidth="11.25" defaultRowHeight="15" customHeight="1"/>
  <cols>
    <col min="1" max="1" width="6.75" customWidth="1"/>
    <col min="2" max="2" width="53.375" customWidth="1"/>
    <col min="3" max="3" width="18.375" customWidth="1"/>
    <col min="4" max="6" width="8.75" customWidth="1"/>
    <col min="7" max="26" width="10" customWidth="1"/>
  </cols>
  <sheetData>
    <row r="1" spans="1:3" ht="63" customHeight="1">
      <c r="A1" s="83" t="s">
        <v>479</v>
      </c>
      <c r="B1" s="84"/>
      <c r="C1" s="85"/>
    </row>
    <row r="2" spans="1:3" ht="34.5" customHeight="1">
      <c r="A2" s="86" t="s">
        <v>509</v>
      </c>
      <c r="B2" s="81"/>
      <c r="C2" s="82"/>
    </row>
    <row r="3" spans="1:3" ht="30" customHeight="1">
      <c r="A3" s="16" t="s">
        <v>481</v>
      </c>
      <c r="B3" s="17" t="s">
        <v>482</v>
      </c>
      <c r="C3" s="18" t="s">
        <v>483</v>
      </c>
    </row>
    <row r="4" spans="1:3" ht="30" customHeight="1">
      <c r="A4" s="21" t="s">
        <v>475</v>
      </c>
      <c r="B4" s="21" t="s">
        <v>486</v>
      </c>
      <c r="C4" s="18" t="s">
        <v>487</v>
      </c>
    </row>
    <row r="5" spans="1:3" ht="66.75" customHeight="1">
      <c r="A5" s="19">
        <v>1</v>
      </c>
      <c r="B5" s="22" t="s">
        <v>510</v>
      </c>
      <c r="C5" s="20"/>
    </row>
    <row r="6" spans="1:3" ht="66.75" customHeight="1">
      <c r="A6" s="19"/>
      <c r="B6" s="22"/>
      <c r="C6" s="20"/>
    </row>
    <row r="7" spans="1:3" ht="66.75" customHeight="1">
      <c r="A7" s="33"/>
      <c r="C7" s="34"/>
    </row>
    <row r="8" spans="1:3" ht="66.75" customHeight="1">
      <c r="A8" s="35"/>
      <c r="B8" s="36"/>
      <c r="C8" s="37"/>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E1000"/>
  <sheetViews>
    <sheetView workbookViewId="0"/>
  </sheetViews>
  <sheetFormatPr defaultColWidth="11.25" defaultRowHeight="15" customHeight="1"/>
  <cols>
    <col min="1" max="1" width="8.75" customWidth="1"/>
    <col min="2" max="2" width="53.375" customWidth="1"/>
    <col min="3" max="3" width="18.375" customWidth="1"/>
    <col min="4" max="4" width="23.625" customWidth="1"/>
    <col min="5" max="5" width="19.5" customWidth="1"/>
    <col min="6" max="6" width="10.375" customWidth="1"/>
    <col min="7" max="26" width="10" customWidth="1"/>
  </cols>
  <sheetData>
    <row r="1" spans="1:5" ht="61.5" customHeight="1">
      <c r="A1" s="83" t="s">
        <v>479</v>
      </c>
      <c r="B1" s="84"/>
      <c r="C1" s="85"/>
    </row>
    <row r="2" spans="1:5" ht="31.5" customHeight="1">
      <c r="A2" s="86" t="s">
        <v>511</v>
      </c>
      <c r="B2" s="81"/>
      <c r="C2" s="82"/>
    </row>
    <row r="3" spans="1:5" ht="30" customHeight="1">
      <c r="A3" s="16" t="s">
        <v>481</v>
      </c>
      <c r="B3" s="17" t="s">
        <v>482</v>
      </c>
      <c r="C3" s="18" t="s">
        <v>483</v>
      </c>
    </row>
    <row r="4" spans="1:5" ht="30" customHeight="1">
      <c r="A4" s="19">
        <v>1</v>
      </c>
      <c r="B4" s="17" t="s">
        <v>484</v>
      </c>
      <c r="C4" s="20"/>
    </row>
    <row r="5" spans="1:5" ht="45" customHeight="1">
      <c r="A5" s="19">
        <v>2</v>
      </c>
      <c r="B5" s="17" t="s">
        <v>505</v>
      </c>
      <c r="C5" s="20"/>
    </row>
    <row r="6" spans="1:5" ht="45" customHeight="1">
      <c r="A6" s="19">
        <v>3</v>
      </c>
      <c r="B6" s="29" t="s">
        <v>512</v>
      </c>
      <c r="C6" s="20"/>
    </row>
    <row r="7" spans="1:5" ht="30" customHeight="1">
      <c r="A7" s="19">
        <v>4</v>
      </c>
      <c r="B7" s="17" t="s">
        <v>513</v>
      </c>
      <c r="C7" s="20"/>
    </row>
    <row r="8" spans="1:5">
      <c r="A8" s="19"/>
      <c r="B8" s="15"/>
      <c r="C8" s="20"/>
    </row>
    <row r="9" spans="1:5">
      <c r="A9" s="19"/>
      <c r="B9" s="15"/>
      <c r="C9" s="20"/>
    </row>
    <row r="10" spans="1:5">
      <c r="A10" s="19"/>
      <c r="B10" s="15"/>
      <c r="C10" s="20"/>
    </row>
    <row r="11" spans="1:5" ht="75" customHeight="1">
      <c r="A11" s="21" t="s">
        <v>475</v>
      </c>
      <c r="B11" s="21" t="s">
        <v>486</v>
      </c>
      <c r="C11" s="18" t="s">
        <v>487</v>
      </c>
    </row>
    <row r="12" spans="1:5" ht="66.75" customHeight="1">
      <c r="A12" s="19">
        <v>1</v>
      </c>
      <c r="B12" s="22" t="s">
        <v>514</v>
      </c>
      <c r="C12" s="20"/>
      <c r="E12" s="9"/>
    </row>
    <row r="13" spans="1:5" ht="66.75" customHeight="1">
      <c r="A13" s="19"/>
      <c r="B13" s="22"/>
      <c r="C13" s="20"/>
    </row>
    <row r="14" spans="1:5" ht="66.75" customHeight="1">
      <c r="A14" s="33"/>
      <c r="C14" s="34"/>
    </row>
    <row r="15" spans="1:5" ht="66.75" customHeight="1">
      <c r="A15" s="35"/>
      <c r="B15" s="36"/>
      <c r="C15" s="37"/>
    </row>
    <row r="16" spans="1:5">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C1000"/>
  <sheetViews>
    <sheetView workbookViewId="0"/>
  </sheetViews>
  <sheetFormatPr defaultColWidth="11.25" defaultRowHeight="15" customHeight="1"/>
  <cols>
    <col min="1" max="1" width="7" customWidth="1"/>
    <col min="2" max="2" width="53.375" customWidth="1"/>
    <col min="3" max="3" width="18.375" customWidth="1"/>
    <col min="4" max="6" width="8.75" customWidth="1"/>
    <col min="7" max="26" width="10" customWidth="1"/>
  </cols>
  <sheetData>
    <row r="1" spans="1:3" ht="60.75" customHeight="1">
      <c r="A1" s="83" t="s">
        <v>479</v>
      </c>
      <c r="B1" s="84"/>
      <c r="C1" s="85"/>
    </row>
    <row r="2" spans="1:3" ht="30.75" customHeight="1">
      <c r="A2" s="86" t="s">
        <v>515</v>
      </c>
      <c r="B2" s="81"/>
      <c r="C2" s="82"/>
    </row>
    <row r="3" spans="1:3" ht="30" customHeight="1">
      <c r="A3" s="16" t="s">
        <v>481</v>
      </c>
      <c r="B3" s="17" t="s">
        <v>482</v>
      </c>
      <c r="C3" s="18" t="s">
        <v>483</v>
      </c>
    </row>
    <row r="4" spans="1:3">
      <c r="A4" s="19"/>
      <c r="B4" s="15"/>
      <c r="C4" s="20"/>
    </row>
    <row r="5" spans="1:3">
      <c r="A5" s="19"/>
      <c r="B5" s="15"/>
      <c r="C5" s="20"/>
    </row>
    <row r="6" spans="1:3">
      <c r="A6" s="19"/>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516</v>
      </c>
      <c r="C12" s="20"/>
    </row>
    <row r="13" spans="1:3" ht="66.75" customHeight="1">
      <c r="A13" s="19"/>
      <c r="B13" s="22"/>
      <c r="C13" s="20"/>
    </row>
    <row r="14" spans="1:3" ht="66.75" customHeight="1">
      <c r="A14" s="33"/>
      <c r="C14" s="34"/>
    </row>
    <row r="15" spans="1:3" ht="66.75" customHeight="1">
      <c r="A15" s="35"/>
      <c r="B15" s="36"/>
      <c r="C15" s="37"/>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C1000"/>
  <sheetViews>
    <sheetView workbookViewId="0"/>
  </sheetViews>
  <sheetFormatPr defaultColWidth="11.25" defaultRowHeight="15" customHeight="1"/>
  <cols>
    <col min="1" max="1" width="7.125" customWidth="1"/>
    <col min="2" max="2" width="53.375" customWidth="1"/>
    <col min="3" max="3" width="18.375" customWidth="1"/>
    <col min="4" max="6" width="8.75" customWidth="1"/>
    <col min="7" max="26" width="10" customWidth="1"/>
  </cols>
  <sheetData>
    <row r="1" spans="1:3" ht="61.5" customHeight="1">
      <c r="A1" s="83" t="s">
        <v>479</v>
      </c>
      <c r="B1" s="84"/>
      <c r="C1" s="85"/>
    </row>
    <row r="2" spans="1:3" ht="31.5" customHeight="1">
      <c r="A2" s="86" t="s">
        <v>517</v>
      </c>
      <c r="B2" s="81"/>
      <c r="C2" s="82"/>
    </row>
    <row r="3" spans="1:3" ht="30" customHeight="1">
      <c r="A3" s="16" t="s">
        <v>481</v>
      </c>
      <c r="B3" s="17" t="s">
        <v>482</v>
      </c>
      <c r="C3" s="18" t="s">
        <v>483</v>
      </c>
    </row>
    <row r="4" spans="1:3">
      <c r="A4" s="19"/>
      <c r="B4" s="15"/>
      <c r="C4" s="20"/>
    </row>
    <row r="5" spans="1:3">
      <c r="A5" s="19"/>
      <c r="B5" s="15"/>
      <c r="C5" s="20"/>
    </row>
    <row r="6" spans="1:3">
      <c r="A6" s="19"/>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66.75" customHeight="1">
      <c r="A12" s="19">
        <v>1</v>
      </c>
      <c r="B12" s="22" t="s">
        <v>518</v>
      </c>
      <c r="C12" s="20"/>
    </row>
    <row r="13" spans="1:3" ht="66.75" customHeight="1">
      <c r="A13" s="19"/>
      <c r="B13" s="22"/>
      <c r="C13" s="20"/>
    </row>
    <row r="14" spans="1:3" ht="66.75" customHeight="1">
      <c r="A14" s="33"/>
      <c r="C14" s="34"/>
    </row>
    <row r="15" spans="1:3" ht="66.75" customHeight="1">
      <c r="A15" s="35"/>
      <c r="B15" s="36"/>
      <c r="C15" s="37"/>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E1000"/>
  <sheetViews>
    <sheetView workbookViewId="0"/>
  </sheetViews>
  <sheetFormatPr defaultColWidth="11.25" defaultRowHeight="15" customHeight="1"/>
  <cols>
    <col min="1" max="1" width="6.875" customWidth="1"/>
    <col min="2" max="2" width="53.375" customWidth="1"/>
    <col min="3" max="3" width="18.375" customWidth="1"/>
    <col min="4" max="4" width="15.5" customWidth="1"/>
    <col min="5" max="5" width="15.375" customWidth="1"/>
    <col min="6" max="6" width="8.75" customWidth="1"/>
    <col min="7" max="26" width="10" customWidth="1"/>
  </cols>
  <sheetData>
    <row r="1" spans="1:5" ht="63" customHeight="1">
      <c r="A1" s="83" t="s">
        <v>479</v>
      </c>
      <c r="B1" s="84"/>
      <c r="C1" s="85"/>
    </row>
    <row r="2" spans="1:5" ht="30.75" customHeight="1">
      <c r="A2" s="86" t="s">
        <v>519</v>
      </c>
      <c r="B2" s="81"/>
      <c r="C2" s="82"/>
    </row>
    <row r="3" spans="1:5" ht="30" customHeight="1">
      <c r="A3" s="16" t="s">
        <v>481</v>
      </c>
      <c r="B3" s="17" t="s">
        <v>482</v>
      </c>
      <c r="C3" s="18" t="s">
        <v>483</v>
      </c>
    </row>
    <row r="4" spans="1:5" ht="30" customHeight="1">
      <c r="A4" s="19">
        <v>1</v>
      </c>
      <c r="B4" s="17" t="s">
        <v>484</v>
      </c>
      <c r="C4" s="20"/>
    </row>
    <row r="5" spans="1:5" ht="45" customHeight="1">
      <c r="A5" s="19">
        <v>2</v>
      </c>
      <c r="B5" s="17" t="s">
        <v>505</v>
      </c>
      <c r="C5" s="20"/>
    </row>
    <row r="6" spans="1:5" ht="45" customHeight="1">
      <c r="A6" s="19">
        <v>3</v>
      </c>
      <c r="B6" s="29" t="s">
        <v>520</v>
      </c>
      <c r="C6" s="20"/>
    </row>
    <row r="7" spans="1:5" ht="30" customHeight="1">
      <c r="A7" s="19">
        <v>4</v>
      </c>
      <c r="B7" s="17" t="s">
        <v>521</v>
      </c>
      <c r="C7" s="20"/>
    </row>
    <row r="8" spans="1:5" ht="45" customHeight="1">
      <c r="A8" s="19">
        <v>5</v>
      </c>
      <c r="B8" s="17" t="s">
        <v>522</v>
      </c>
      <c r="C8" s="20"/>
    </row>
    <row r="9" spans="1:5" ht="30" customHeight="1">
      <c r="A9" s="19">
        <v>6</v>
      </c>
      <c r="B9" s="17" t="s">
        <v>523</v>
      </c>
      <c r="C9" s="20"/>
    </row>
    <row r="10" spans="1:5" ht="45" customHeight="1">
      <c r="A10" s="19">
        <v>7</v>
      </c>
      <c r="B10" s="17" t="s">
        <v>524</v>
      </c>
      <c r="C10" s="20"/>
    </row>
    <row r="11" spans="1:5" ht="30" customHeight="1">
      <c r="A11" s="21" t="s">
        <v>475</v>
      </c>
      <c r="B11" s="21" t="s">
        <v>486</v>
      </c>
      <c r="C11" s="18" t="s">
        <v>487</v>
      </c>
    </row>
    <row r="12" spans="1:5" ht="66.75" customHeight="1">
      <c r="A12" s="19">
        <v>1</v>
      </c>
      <c r="B12" s="22" t="s">
        <v>525</v>
      </c>
      <c r="C12" s="20"/>
      <c r="D12" s="12"/>
      <c r="E12" s="12"/>
    </row>
    <row r="13" spans="1:5" ht="66.75" customHeight="1">
      <c r="A13" s="19">
        <v>2</v>
      </c>
      <c r="B13" s="22" t="s">
        <v>526</v>
      </c>
      <c r="C13" s="20"/>
      <c r="D13" s="12"/>
    </row>
    <row r="14" spans="1:5" ht="66.75" customHeight="1">
      <c r="A14" s="33"/>
      <c r="C14" s="34"/>
    </row>
    <row r="15" spans="1:5" ht="66.75" customHeight="1">
      <c r="A15" s="35"/>
      <c r="B15" s="36"/>
      <c r="C15" s="37"/>
    </row>
    <row r="16" spans="1:5">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C1000"/>
  <sheetViews>
    <sheetView workbookViewId="0"/>
  </sheetViews>
  <sheetFormatPr defaultColWidth="11.25" defaultRowHeight="15" customHeight="1"/>
  <cols>
    <col min="1" max="1" width="7" customWidth="1"/>
    <col min="2" max="2" width="53.375" customWidth="1"/>
    <col min="3" max="3" width="18.375" customWidth="1"/>
    <col min="4" max="6" width="8.75" customWidth="1"/>
    <col min="7" max="26" width="10" customWidth="1"/>
  </cols>
  <sheetData>
    <row r="1" spans="1:3" ht="63.75" customHeight="1">
      <c r="A1" s="83" t="s">
        <v>479</v>
      </c>
      <c r="B1" s="84"/>
      <c r="C1" s="85"/>
    </row>
    <row r="2" spans="1:3" ht="30.75" customHeight="1">
      <c r="A2" s="86" t="s">
        <v>527</v>
      </c>
      <c r="B2" s="81"/>
      <c r="C2" s="82"/>
    </row>
    <row r="3" spans="1:3" ht="30" customHeight="1">
      <c r="A3" s="16" t="s">
        <v>481</v>
      </c>
      <c r="B3" s="17" t="s">
        <v>482</v>
      </c>
      <c r="C3" s="18" t="s">
        <v>483</v>
      </c>
    </row>
    <row r="4" spans="1:3" ht="30" customHeight="1">
      <c r="A4" s="19">
        <v>1</v>
      </c>
      <c r="B4" s="17" t="s">
        <v>484</v>
      </c>
      <c r="C4" s="20"/>
    </row>
    <row r="5" spans="1:3" ht="45" customHeight="1">
      <c r="A5" s="19">
        <v>2</v>
      </c>
      <c r="B5" s="17" t="s">
        <v>505</v>
      </c>
      <c r="C5" s="20"/>
    </row>
    <row r="6" spans="1:3" ht="45" customHeight="1">
      <c r="A6" s="19">
        <v>3</v>
      </c>
      <c r="B6" s="29" t="s">
        <v>520</v>
      </c>
      <c r="C6" s="20"/>
    </row>
    <row r="7" spans="1:3" ht="30" customHeight="1">
      <c r="A7" s="19">
        <v>4</v>
      </c>
      <c r="B7" s="17" t="s">
        <v>528</v>
      </c>
      <c r="C7" s="20"/>
    </row>
    <row r="8" spans="1:3" ht="45" customHeight="1">
      <c r="A8" s="19">
        <v>5</v>
      </c>
      <c r="B8" s="17" t="s">
        <v>522</v>
      </c>
      <c r="C8" s="20"/>
    </row>
    <row r="9" spans="1:3" ht="30" customHeight="1">
      <c r="A9" s="19">
        <v>6</v>
      </c>
      <c r="B9" s="17" t="s">
        <v>523</v>
      </c>
      <c r="C9" s="20"/>
    </row>
    <row r="10" spans="1:3" ht="45" customHeight="1">
      <c r="A10" s="19">
        <v>7</v>
      </c>
      <c r="B10" s="17" t="s">
        <v>524</v>
      </c>
      <c r="C10" s="20"/>
    </row>
    <row r="11" spans="1:3" ht="45" customHeight="1">
      <c r="A11" s="19">
        <v>8</v>
      </c>
      <c r="B11" s="17" t="s">
        <v>529</v>
      </c>
      <c r="C11" s="20"/>
    </row>
    <row r="12" spans="1:3" ht="30" customHeight="1">
      <c r="A12" s="21" t="s">
        <v>475</v>
      </c>
      <c r="B12" s="21" t="s">
        <v>486</v>
      </c>
      <c r="C12" s="18" t="s">
        <v>487</v>
      </c>
    </row>
    <row r="13" spans="1:3" ht="66.75" customHeight="1">
      <c r="A13" s="19">
        <v>1</v>
      </c>
      <c r="B13" s="22" t="s">
        <v>530</v>
      </c>
      <c r="C13" s="20"/>
    </row>
    <row r="14" spans="1:3" ht="66.75" customHeight="1">
      <c r="A14" s="19"/>
      <c r="B14" s="2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C1000"/>
  <sheetViews>
    <sheetView workbookViewId="0"/>
  </sheetViews>
  <sheetFormatPr defaultColWidth="11.25" defaultRowHeight="15" customHeight="1"/>
  <cols>
    <col min="1" max="1" width="7.125" customWidth="1"/>
    <col min="2" max="2" width="53.375" customWidth="1"/>
    <col min="3" max="3" width="18.375" customWidth="1"/>
    <col min="4" max="6" width="8.75" customWidth="1"/>
    <col min="7" max="26" width="10" customWidth="1"/>
  </cols>
  <sheetData>
    <row r="1" spans="1:3" ht="63" customHeight="1">
      <c r="A1" s="83" t="s">
        <v>479</v>
      </c>
      <c r="B1" s="84"/>
      <c r="C1" s="85"/>
    </row>
    <row r="2" spans="1:3" ht="31.5" customHeight="1">
      <c r="A2" s="86" t="s">
        <v>531</v>
      </c>
      <c r="B2" s="81"/>
      <c r="C2" s="82"/>
    </row>
    <row r="3" spans="1:3" ht="30" customHeight="1">
      <c r="A3" s="16" t="s">
        <v>481</v>
      </c>
      <c r="B3" s="17" t="s">
        <v>482</v>
      </c>
      <c r="C3" s="18" t="s">
        <v>483</v>
      </c>
    </row>
    <row r="4" spans="1:3" ht="30" customHeight="1">
      <c r="A4" s="21" t="s">
        <v>475</v>
      </c>
      <c r="B4" s="21" t="s">
        <v>486</v>
      </c>
      <c r="C4" s="18" t="s">
        <v>487</v>
      </c>
    </row>
    <row r="5" spans="1:3" ht="66.75" customHeight="1">
      <c r="A5" s="19">
        <v>1</v>
      </c>
      <c r="B5" s="22" t="s">
        <v>532</v>
      </c>
      <c r="C5" s="20"/>
    </row>
    <row r="6" spans="1:3" ht="66.75" customHeight="1">
      <c r="A6" s="19"/>
      <c r="B6" s="22"/>
      <c r="C6" s="20"/>
    </row>
    <row r="7" spans="1:3" ht="66.75" customHeight="1">
      <c r="A7" s="33"/>
      <c r="C7" s="34"/>
    </row>
    <row r="8" spans="1:3" ht="66.75" customHeight="1">
      <c r="A8" s="35"/>
      <c r="B8" s="36"/>
      <c r="C8" s="37"/>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C1000"/>
  <sheetViews>
    <sheetView workbookViewId="0"/>
  </sheetViews>
  <sheetFormatPr defaultColWidth="11.25" defaultRowHeight="15" customHeight="1"/>
  <cols>
    <col min="1" max="1" width="5.5" customWidth="1"/>
    <col min="2" max="2" width="53.375" customWidth="1"/>
    <col min="3" max="3" width="18.375" customWidth="1"/>
    <col min="4" max="6" width="8.75" customWidth="1"/>
    <col min="7" max="26" width="10" customWidth="1"/>
  </cols>
  <sheetData>
    <row r="1" spans="1:3" ht="60.75" customHeight="1">
      <c r="A1" s="83" t="s">
        <v>479</v>
      </c>
      <c r="B1" s="84"/>
      <c r="C1" s="85"/>
    </row>
    <row r="2" spans="1:3" ht="33" customHeight="1">
      <c r="A2" s="23"/>
    </row>
    <row r="3" spans="1:3">
      <c r="A3" s="23"/>
    </row>
    <row r="4" spans="1:3">
      <c r="A4" s="23"/>
    </row>
    <row r="5" spans="1:3">
      <c r="A5" s="23"/>
    </row>
    <row r="6" spans="1:3">
      <c r="A6" s="23"/>
    </row>
    <row r="7" spans="1:3">
      <c r="A7" s="23"/>
    </row>
    <row r="8" spans="1:3">
      <c r="A8" s="23"/>
    </row>
    <row r="9" spans="1:3">
      <c r="A9" s="23"/>
    </row>
    <row r="10" spans="1:3">
      <c r="A10" s="23"/>
    </row>
    <row r="11" spans="1:3">
      <c r="A11" s="23"/>
    </row>
    <row r="12" spans="1:3">
      <c r="A12" s="23"/>
    </row>
    <row r="13" spans="1:3">
      <c r="A13" s="23"/>
    </row>
    <row r="14" spans="1:3" ht="66.75" customHeight="1">
      <c r="A14" s="23"/>
    </row>
    <row r="15" spans="1:3" ht="66.75" customHeight="1">
      <c r="A15" s="19"/>
      <c r="B15" s="22"/>
      <c r="C15" s="20"/>
    </row>
    <row r="16" spans="1:3" ht="66.75" customHeight="1">
      <c r="A16" s="33"/>
      <c r="C16" s="34"/>
    </row>
    <row r="17" spans="1:3" ht="66.75" customHeight="1">
      <c r="A17" s="35"/>
      <c r="B17" s="36"/>
      <c r="C17" s="37"/>
    </row>
    <row r="18" spans="1:3">
      <c r="A18" s="23"/>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1">
    <mergeCell ref="A1:C1"/>
  </mergeCells>
  <pageMargins left="0.7" right="0.7" top="0.75" bottom="0.75" header="0" footer="0"/>
  <pageSetup orientation="landscape"/>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C1000"/>
  <sheetViews>
    <sheetView workbookViewId="0"/>
  </sheetViews>
  <sheetFormatPr defaultColWidth="11.25" defaultRowHeight="15" customHeight="1"/>
  <cols>
    <col min="1" max="1" width="5.5" customWidth="1"/>
    <col min="2" max="2" width="53.375" customWidth="1"/>
    <col min="3" max="3" width="18.375" customWidth="1"/>
    <col min="4" max="4" width="20.5" customWidth="1"/>
    <col min="5" max="5" width="26.125" customWidth="1"/>
    <col min="6" max="6" width="8.75" customWidth="1"/>
    <col min="7" max="26" width="10" customWidth="1"/>
  </cols>
  <sheetData>
    <row r="1" spans="1:3" ht="69" customHeight="1">
      <c r="A1" s="83" t="s">
        <v>479</v>
      </c>
      <c r="B1" s="84"/>
      <c r="C1" s="85"/>
    </row>
    <row r="2" spans="1:3" ht="39" customHeight="1">
      <c r="A2" s="86" t="s">
        <v>533</v>
      </c>
      <c r="B2" s="81"/>
      <c r="C2" s="82"/>
    </row>
    <row r="3" spans="1:3" ht="30" customHeight="1">
      <c r="A3" s="16" t="s">
        <v>481</v>
      </c>
      <c r="B3" s="17" t="s">
        <v>482</v>
      </c>
      <c r="C3" s="18" t="s">
        <v>483</v>
      </c>
    </row>
    <row r="4" spans="1:3" ht="45" customHeight="1">
      <c r="A4" s="21" t="s">
        <v>475</v>
      </c>
      <c r="B4" s="21" t="s">
        <v>486</v>
      </c>
      <c r="C4" s="18" t="s">
        <v>487</v>
      </c>
    </row>
    <row r="5" spans="1:3" ht="66.75" customHeight="1">
      <c r="A5" s="19">
        <v>1</v>
      </c>
      <c r="B5" s="22" t="s">
        <v>534</v>
      </c>
      <c r="C5" s="20"/>
    </row>
    <row r="6" spans="1:3" ht="66.75" customHeight="1">
      <c r="A6" s="19"/>
      <c r="B6" s="22"/>
      <c r="C6" s="20"/>
    </row>
    <row r="7" spans="1:3" ht="66.75" customHeight="1">
      <c r="A7" s="33"/>
      <c r="C7" s="34"/>
    </row>
    <row r="8" spans="1:3" ht="66.75" customHeight="1">
      <c r="A8" s="35"/>
      <c r="B8" s="36"/>
      <c r="C8" s="37"/>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C1000"/>
  <sheetViews>
    <sheetView workbookViewId="0"/>
  </sheetViews>
  <sheetFormatPr defaultColWidth="11.25" defaultRowHeight="15" customHeight="1"/>
  <cols>
    <col min="1" max="1" width="7.125" customWidth="1"/>
    <col min="2" max="2" width="53.375" customWidth="1"/>
    <col min="3" max="3" width="18.375" customWidth="1"/>
    <col min="4" max="6" width="8.75" customWidth="1"/>
    <col min="7" max="26" width="10" customWidth="1"/>
  </cols>
  <sheetData>
    <row r="1" spans="1:3" ht="60.75" customHeight="1">
      <c r="A1" s="83" t="s">
        <v>479</v>
      </c>
      <c r="B1" s="84"/>
      <c r="C1" s="85"/>
    </row>
    <row r="2" spans="1:3" ht="30.75" customHeight="1">
      <c r="A2" s="86" t="s">
        <v>535</v>
      </c>
      <c r="B2" s="81"/>
      <c r="C2" s="82"/>
    </row>
    <row r="3" spans="1:3" ht="30" customHeight="1">
      <c r="A3" s="16" t="s">
        <v>481</v>
      </c>
      <c r="B3" s="17" t="s">
        <v>482</v>
      </c>
      <c r="C3" s="18" t="s">
        <v>483</v>
      </c>
    </row>
    <row r="4" spans="1:3" ht="30" customHeight="1">
      <c r="A4" s="19">
        <v>1</v>
      </c>
      <c r="B4" s="17" t="s">
        <v>536</v>
      </c>
      <c r="C4" s="20"/>
    </row>
    <row r="5" spans="1:3" ht="30" customHeight="1">
      <c r="A5" s="19">
        <v>2</v>
      </c>
      <c r="B5" s="17" t="s">
        <v>537</v>
      </c>
      <c r="C5" s="20"/>
    </row>
    <row r="6" spans="1:3" ht="45" customHeight="1">
      <c r="A6" s="19">
        <v>3</v>
      </c>
      <c r="B6" s="17" t="s">
        <v>538</v>
      </c>
      <c r="C6" s="20"/>
    </row>
    <row r="7" spans="1:3">
      <c r="A7" s="19"/>
      <c r="B7" s="15"/>
      <c r="C7" s="20"/>
    </row>
    <row r="8" spans="1:3">
      <c r="A8" s="19"/>
      <c r="B8" s="15"/>
      <c r="C8" s="20"/>
    </row>
    <row r="9" spans="1:3">
      <c r="A9" s="19"/>
      <c r="B9" s="15"/>
      <c r="C9" s="20"/>
    </row>
    <row r="10" spans="1:3">
      <c r="A10" s="19"/>
      <c r="B10" s="15"/>
      <c r="C10" s="20"/>
    </row>
    <row r="11" spans="1:3">
      <c r="A11" s="19"/>
      <c r="B11" s="15"/>
      <c r="C11" s="20"/>
    </row>
    <row r="12" spans="1:3">
      <c r="A12" s="19"/>
      <c r="B12" s="15"/>
      <c r="C12" s="20"/>
    </row>
    <row r="13" spans="1:3" ht="30" customHeight="1">
      <c r="A13" s="21" t="s">
        <v>475</v>
      </c>
      <c r="B13" s="21" t="s">
        <v>486</v>
      </c>
      <c r="C13" s="18" t="s">
        <v>487</v>
      </c>
    </row>
    <row r="14" spans="1:3" ht="81" customHeight="1">
      <c r="A14" s="45">
        <v>1</v>
      </c>
      <c r="B14" s="22" t="s">
        <v>539</v>
      </c>
      <c r="C14" s="34"/>
    </row>
    <row r="15" spans="1:3" ht="66.75" customHeight="1">
      <c r="A15" s="33">
        <v>2</v>
      </c>
      <c r="B15" s="22" t="s">
        <v>540</v>
      </c>
      <c r="C15" s="34"/>
    </row>
    <row r="16" spans="1:3" ht="66.75" customHeight="1">
      <c r="A16" s="19">
        <v>3</v>
      </c>
      <c r="B16" s="22" t="s">
        <v>541</v>
      </c>
      <c r="C16" s="20"/>
    </row>
    <row r="17" spans="1:3" ht="66.75" customHeight="1">
      <c r="A17" s="33"/>
      <c r="C17" s="34"/>
    </row>
    <row r="18" spans="1:3" ht="66.75" customHeight="1">
      <c r="A18" s="35"/>
      <c r="B18" s="36"/>
      <c r="C18" s="37"/>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C1000"/>
  <sheetViews>
    <sheetView workbookViewId="0"/>
  </sheetViews>
  <sheetFormatPr defaultColWidth="11.25" defaultRowHeight="15" customHeight="1"/>
  <cols>
    <col min="1" max="1" width="8.5" customWidth="1"/>
    <col min="2" max="2" width="53.375" customWidth="1"/>
    <col min="3" max="3" width="18.375" customWidth="1"/>
    <col min="4" max="4" width="15.5" customWidth="1"/>
    <col min="5" max="5" width="15.375" customWidth="1"/>
    <col min="6" max="6" width="8.75" customWidth="1"/>
    <col min="7" max="26" width="10" customWidth="1"/>
  </cols>
  <sheetData>
    <row r="1" spans="1:3" ht="60.75" customHeight="1">
      <c r="A1" s="83" t="s">
        <v>479</v>
      </c>
      <c r="B1" s="84"/>
      <c r="C1" s="85"/>
    </row>
    <row r="2" spans="1:3" ht="30.75" customHeight="1">
      <c r="A2" s="86" t="s">
        <v>542</v>
      </c>
      <c r="B2" s="81"/>
      <c r="C2" s="82"/>
    </row>
    <row r="3" spans="1:3" ht="30" customHeight="1">
      <c r="A3" s="16" t="s">
        <v>481</v>
      </c>
      <c r="B3" s="17" t="s">
        <v>482</v>
      </c>
      <c r="C3" s="18" t="s">
        <v>483</v>
      </c>
    </row>
    <row r="4" spans="1:3" ht="30" customHeight="1">
      <c r="A4" s="19">
        <v>1</v>
      </c>
      <c r="B4" s="17" t="s">
        <v>543</v>
      </c>
      <c r="C4" s="20"/>
    </row>
    <row r="5" spans="1:3" ht="30" customHeight="1">
      <c r="A5" s="19">
        <v>2</v>
      </c>
      <c r="B5" s="17" t="s">
        <v>544</v>
      </c>
      <c r="C5" s="20"/>
    </row>
    <row r="6" spans="1:3" ht="45" customHeight="1">
      <c r="A6" s="19">
        <v>3</v>
      </c>
      <c r="B6" s="29" t="s">
        <v>545</v>
      </c>
      <c r="C6" s="20"/>
    </row>
    <row r="7" spans="1:3" ht="30" customHeight="1">
      <c r="A7" s="19">
        <v>4</v>
      </c>
      <c r="B7" s="17" t="s">
        <v>546</v>
      </c>
      <c r="C7" s="20"/>
    </row>
    <row r="8" spans="1:3" ht="45" customHeight="1">
      <c r="A8" s="19">
        <v>5</v>
      </c>
      <c r="B8" s="17" t="s">
        <v>547</v>
      </c>
      <c r="C8" s="20"/>
    </row>
    <row r="9" spans="1:3" ht="30" customHeight="1">
      <c r="A9" s="19">
        <v>6</v>
      </c>
      <c r="B9" s="17" t="s">
        <v>548</v>
      </c>
      <c r="C9" s="20"/>
    </row>
    <row r="10" spans="1:3" ht="45" customHeight="1">
      <c r="A10" s="19">
        <v>7</v>
      </c>
      <c r="B10" s="17" t="s">
        <v>549</v>
      </c>
      <c r="C10" s="20"/>
    </row>
    <row r="11" spans="1:3" ht="45" customHeight="1">
      <c r="A11" s="38">
        <v>8</v>
      </c>
      <c r="B11" s="17" t="s">
        <v>550</v>
      </c>
      <c r="C11" s="20"/>
    </row>
    <row r="12" spans="1:3" ht="45" customHeight="1">
      <c r="A12" s="38">
        <v>9</v>
      </c>
      <c r="B12" s="17" t="s">
        <v>551</v>
      </c>
      <c r="C12" s="20"/>
    </row>
    <row r="13" spans="1:3" ht="30" customHeight="1">
      <c r="A13" s="21" t="s">
        <v>475</v>
      </c>
      <c r="B13" s="21" t="s">
        <v>486</v>
      </c>
      <c r="C13" s="18" t="s">
        <v>487</v>
      </c>
    </row>
    <row r="14" spans="1:3" ht="66.75" customHeight="1">
      <c r="A14" s="19">
        <v>1</v>
      </c>
      <c r="B14" s="22" t="s">
        <v>552</v>
      </c>
      <c r="C14" s="20"/>
    </row>
    <row r="15" spans="1:3" ht="66.75" customHeight="1">
      <c r="A15" s="19">
        <v>2</v>
      </c>
      <c r="B15" s="22" t="s">
        <v>553</v>
      </c>
      <c r="C15" s="20"/>
    </row>
    <row r="16" spans="1:3" ht="66.75" customHeight="1">
      <c r="A16" s="33"/>
      <c r="C16" s="34"/>
    </row>
    <row r="17" spans="1:3" ht="66.75" customHeight="1">
      <c r="A17" s="35"/>
      <c r="B17" s="36"/>
      <c r="C17" s="37"/>
    </row>
    <row r="18" spans="1:3">
      <c r="A18" s="23"/>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C1000"/>
  <sheetViews>
    <sheetView workbookViewId="0"/>
  </sheetViews>
  <sheetFormatPr defaultColWidth="11.25" defaultRowHeight="15" customHeight="1"/>
  <cols>
    <col min="1" max="1" width="8" customWidth="1"/>
    <col min="2" max="2" width="53.375" customWidth="1"/>
    <col min="3" max="3" width="18.375" customWidth="1"/>
    <col min="4" max="4" width="15.5" customWidth="1"/>
    <col min="5" max="5" width="15.375" customWidth="1"/>
    <col min="6" max="6" width="8.75" customWidth="1"/>
    <col min="7" max="26" width="10" customWidth="1"/>
  </cols>
  <sheetData>
    <row r="1" spans="1:3" ht="60.75" customHeight="1">
      <c r="A1" s="83" t="s">
        <v>479</v>
      </c>
      <c r="B1" s="84"/>
      <c r="C1" s="85"/>
    </row>
    <row r="2" spans="1:3" ht="30.75" customHeight="1">
      <c r="A2" s="86" t="s">
        <v>554</v>
      </c>
      <c r="B2" s="81"/>
      <c r="C2" s="82"/>
    </row>
    <row r="3" spans="1:3" ht="30" customHeight="1">
      <c r="A3" s="16" t="s">
        <v>481</v>
      </c>
      <c r="B3" s="17" t="s">
        <v>482</v>
      </c>
      <c r="C3" s="18" t="s">
        <v>483</v>
      </c>
    </row>
    <row r="4" spans="1:3" ht="30" customHeight="1">
      <c r="A4" s="19">
        <v>1</v>
      </c>
      <c r="B4" s="17" t="s">
        <v>555</v>
      </c>
      <c r="C4" s="20"/>
    </row>
    <row r="5" spans="1:3" ht="45" customHeight="1">
      <c r="A5" s="19">
        <v>2</v>
      </c>
      <c r="B5" s="17" t="s">
        <v>505</v>
      </c>
      <c r="C5" s="20"/>
    </row>
    <row r="6" spans="1:3" ht="45" customHeight="1">
      <c r="A6" s="19">
        <v>3</v>
      </c>
      <c r="B6" s="29" t="s">
        <v>556</v>
      </c>
      <c r="C6" s="20"/>
    </row>
    <row r="7" spans="1:3" ht="30" customHeight="1">
      <c r="A7" s="19">
        <v>4</v>
      </c>
      <c r="B7" s="17" t="s">
        <v>557</v>
      </c>
      <c r="C7" s="20"/>
    </row>
    <row r="8" spans="1:3" ht="45" customHeight="1">
      <c r="A8" s="19">
        <v>5</v>
      </c>
      <c r="B8" s="17" t="s">
        <v>558</v>
      </c>
      <c r="C8" s="20"/>
    </row>
    <row r="9" spans="1:3" ht="30" customHeight="1">
      <c r="A9" s="19">
        <v>6</v>
      </c>
      <c r="B9" s="17" t="s">
        <v>559</v>
      </c>
      <c r="C9" s="20"/>
    </row>
    <row r="10" spans="1:3" ht="45" customHeight="1">
      <c r="A10" s="19">
        <v>7</v>
      </c>
      <c r="B10" s="17" t="s">
        <v>524</v>
      </c>
      <c r="C10" s="20"/>
    </row>
    <row r="11" spans="1:3" ht="45" customHeight="1">
      <c r="A11" s="38">
        <v>8</v>
      </c>
      <c r="B11" s="17" t="s">
        <v>560</v>
      </c>
      <c r="C11" s="20"/>
    </row>
    <row r="12" spans="1:3" ht="45" customHeight="1">
      <c r="A12" s="38">
        <v>9</v>
      </c>
      <c r="B12" s="17" t="s">
        <v>561</v>
      </c>
      <c r="C12" s="20"/>
    </row>
    <row r="13" spans="1:3" ht="45" customHeight="1">
      <c r="A13" s="38">
        <v>10</v>
      </c>
      <c r="B13" s="29" t="s">
        <v>562</v>
      </c>
      <c r="C13" s="20"/>
    </row>
    <row r="14" spans="1:3" ht="30" customHeight="1">
      <c r="A14" s="21" t="s">
        <v>475</v>
      </c>
      <c r="B14" s="21" t="s">
        <v>486</v>
      </c>
      <c r="C14" s="18" t="s">
        <v>487</v>
      </c>
    </row>
    <row r="15" spans="1:3" ht="66.75" customHeight="1">
      <c r="A15" s="19">
        <v>1</v>
      </c>
      <c r="B15" s="22" t="s">
        <v>563</v>
      </c>
      <c r="C15" s="20"/>
    </row>
    <row r="16" spans="1:3" ht="66.75" customHeight="1">
      <c r="A16" s="19"/>
      <c r="B16" s="22"/>
      <c r="C16" s="20"/>
    </row>
    <row r="17" spans="1:3" ht="66.75" customHeight="1">
      <c r="A17" s="33"/>
      <c r="C17" s="34"/>
    </row>
    <row r="18" spans="1:3" ht="66.75" customHeight="1">
      <c r="A18" s="35"/>
      <c r="B18" s="36"/>
      <c r="C18" s="37"/>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C1000"/>
  <sheetViews>
    <sheetView workbookViewId="0"/>
  </sheetViews>
  <sheetFormatPr defaultColWidth="11.25" defaultRowHeight="15" customHeight="1"/>
  <cols>
    <col min="1" max="1" width="7.125" customWidth="1"/>
    <col min="2" max="2" width="53.375" customWidth="1"/>
    <col min="3" max="3" width="18.375" customWidth="1"/>
    <col min="4" max="4" width="20" customWidth="1"/>
    <col min="5" max="6" width="8.75" customWidth="1"/>
    <col min="7" max="26" width="10" customWidth="1"/>
  </cols>
  <sheetData>
    <row r="1" spans="1:3" ht="63" customHeight="1">
      <c r="A1" s="83" t="s">
        <v>479</v>
      </c>
      <c r="B1" s="84"/>
      <c r="C1" s="85"/>
    </row>
    <row r="2" spans="1:3" ht="30.75" customHeight="1">
      <c r="A2" s="86" t="s">
        <v>564</v>
      </c>
      <c r="B2" s="81"/>
      <c r="C2" s="82"/>
    </row>
    <row r="3" spans="1:3" ht="30" customHeight="1">
      <c r="A3" s="16" t="s">
        <v>481</v>
      </c>
      <c r="B3" s="17" t="s">
        <v>482</v>
      </c>
      <c r="C3" s="18" t="s">
        <v>483</v>
      </c>
    </row>
    <row r="4" spans="1:3" ht="45" customHeight="1">
      <c r="A4" s="19">
        <v>1</v>
      </c>
      <c r="B4" s="17" t="s">
        <v>494</v>
      </c>
      <c r="C4" s="20"/>
    </row>
    <row r="5" spans="1:3" ht="45" customHeight="1">
      <c r="A5" s="19">
        <v>2</v>
      </c>
      <c r="B5" s="17" t="s">
        <v>495</v>
      </c>
      <c r="C5" s="20"/>
    </row>
    <row r="6" spans="1:3" ht="30" customHeight="1">
      <c r="A6" s="19">
        <v>3</v>
      </c>
      <c r="B6" s="17" t="s">
        <v>496</v>
      </c>
      <c r="C6" s="20"/>
    </row>
    <row r="7" spans="1:3">
      <c r="A7" s="19"/>
      <c r="B7" s="15"/>
      <c r="C7" s="20"/>
    </row>
    <row r="8" spans="1:3">
      <c r="A8" s="19"/>
      <c r="B8" s="15"/>
      <c r="C8" s="20"/>
    </row>
    <row r="9" spans="1:3">
      <c r="A9" s="19"/>
      <c r="B9" s="15"/>
      <c r="C9" s="20"/>
    </row>
    <row r="10" spans="1:3">
      <c r="A10" s="19"/>
      <c r="B10" s="15"/>
      <c r="C10" s="20"/>
    </row>
    <row r="11" spans="1:3" ht="30" customHeight="1">
      <c r="A11" s="21" t="s">
        <v>475</v>
      </c>
      <c r="B11" s="21" t="s">
        <v>486</v>
      </c>
      <c r="C11" s="18" t="s">
        <v>487</v>
      </c>
    </row>
    <row r="12" spans="1:3" ht="25.5" customHeight="1">
      <c r="A12" s="46">
        <v>1</v>
      </c>
      <c r="B12" s="22" t="s">
        <v>497</v>
      </c>
      <c r="C12" s="20"/>
    </row>
    <row r="13" spans="1:3" ht="66.75" customHeight="1">
      <c r="A13" s="19">
        <v>2</v>
      </c>
      <c r="B13" s="22" t="s">
        <v>565</v>
      </c>
      <c r="C13" s="20"/>
    </row>
    <row r="14" spans="1:3" ht="66.75" customHeight="1">
      <c r="A14" s="19"/>
      <c r="B14" s="32"/>
      <c r="C14" s="20"/>
    </row>
    <row r="15" spans="1:3" ht="66.75" customHeight="1">
      <c r="A15" s="33"/>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C1000"/>
  <sheetViews>
    <sheetView workbookViewId="0"/>
  </sheetViews>
  <sheetFormatPr defaultColWidth="11.25" defaultRowHeight="15" customHeight="1"/>
  <cols>
    <col min="1" max="1" width="7.75" customWidth="1"/>
    <col min="2" max="2" width="53.375" customWidth="1"/>
    <col min="3" max="3" width="18.375" customWidth="1"/>
    <col min="4" max="4" width="20" customWidth="1"/>
    <col min="5" max="6" width="8.75" customWidth="1"/>
    <col min="7" max="26" width="10" customWidth="1"/>
  </cols>
  <sheetData>
    <row r="1" spans="1:3" ht="63" customHeight="1">
      <c r="A1" s="83" t="s">
        <v>479</v>
      </c>
      <c r="B1" s="84"/>
      <c r="C1" s="85"/>
    </row>
    <row r="2" spans="1:3" ht="30.75" customHeight="1">
      <c r="A2" s="86" t="s">
        <v>566</v>
      </c>
      <c r="B2" s="81"/>
      <c r="C2" s="82"/>
    </row>
    <row r="3" spans="1:3" ht="30" customHeight="1">
      <c r="A3" s="16" t="s">
        <v>481</v>
      </c>
      <c r="B3" s="17" t="s">
        <v>482</v>
      </c>
      <c r="C3" s="18" t="s">
        <v>483</v>
      </c>
    </row>
    <row r="4" spans="1:3" ht="30" customHeight="1">
      <c r="A4" s="19">
        <v>1</v>
      </c>
      <c r="B4" s="17" t="s">
        <v>567</v>
      </c>
      <c r="C4" s="20"/>
    </row>
    <row r="5" spans="1:3" ht="45" customHeight="1">
      <c r="A5" s="19">
        <v>2</v>
      </c>
      <c r="B5" s="17" t="s">
        <v>494</v>
      </c>
      <c r="C5" s="20"/>
    </row>
    <row r="6" spans="1:3" ht="45" customHeight="1">
      <c r="A6" s="19">
        <v>3</v>
      </c>
      <c r="B6" s="17" t="s">
        <v>568</v>
      </c>
      <c r="C6" s="20"/>
    </row>
    <row r="7" spans="1:3" ht="30" customHeight="1">
      <c r="A7" s="19">
        <v>4</v>
      </c>
      <c r="B7" s="17" t="s">
        <v>569</v>
      </c>
      <c r="C7" s="20"/>
    </row>
    <row r="8" spans="1:3">
      <c r="A8" s="19"/>
      <c r="B8" s="15"/>
      <c r="C8" s="20"/>
    </row>
    <row r="9" spans="1:3">
      <c r="A9" s="19"/>
      <c r="B9" s="15"/>
      <c r="C9" s="20"/>
    </row>
    <row r="10" spans="1:3">
      <c r="A10" s="19"/>
      <c r="B10" s="15"/>
      <c r="C10" s="20"/>
    </row>
    <row r="11" spans="1:3">
      <c r="A11" s="19"/>
      <c r="B11" s="15"/>
      <c r="C11" s="20"/>
    </row>
    <row r="12" spans="1:3" ht="30" customHeight="1">
      <c r="A12" s="21" t="s">
        <v>475</v>
      </c>
      <c r="B12" s="21" t="s">
        <v>486</v>
      </c>
      <c r="C12" s="18" t="s">
        <v>487</v>
      </c>
    </row>
    <row r="13" spans="1:3" ht="66" customHeight="1">
      <c r="A13" s="46">
        <v>1</v>
      </c>
      <c r="B13" s="22" t="s">
        <v>570</v>
      </c>
      <c r="C13" s="20"/>
    </row>
    <row r="14" spans="1:3" ht="66.75" customHeight="1">
      <c r="A14" s="19">
        <v>2</v>
      </c>
      <c r="B14" s="22" t="s">
        <v>571</v>
      </c>
      <c r="C14" s="20"/>
    </row>
    <row r="15" spans="1:3" ht="66.75" customHeight="1">
      <c r="A15" s="19">
        <v>3</v>
      </c>
      <c r="B15" s="22" t="s">
        <v>572</v>
      </c>
      <c r="C15" s="20"/>
    </row>
    <row r="16" spans="1:3" ht="66.75" customHeight="1">
      <c r="A16" s="33"/>
      <c r="C16" s="34"/>
    </row>
    <row r="17" spans="1:3" ht="66.75" customHeight="1">
      <c r="A17" s="35"/>
      <c r="B17" s="36"/>
      <c r="C17" s="37"/>
    </row>
    <row r="18" spans="1:3">
      <c r="A18" s="23"/>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C1000"/>
  <sheetViews>
    <sheetView workbookViewId="0"/>
  </sheetViews>
  <sheetFormatPr defaultColWidth="11.25" defaultRowHeight="15" customHeight="1"/>
  <cols>
    <col min="1" max="1" width="7.5" customWidth="1"/>
    <col min="2" max="2" width="53.375" customWidth="1"/>
    <col min="3" max="3" width="18.375" customWidth="1"/>
    <col min="4" max="4" width="20" customWidth="1"/>
    <col min="5" max="6" width="8.75" customWidth="1"/>
    <col min="7" max="26" width="10" customWidth="1"/>
  </cols>
  <sheetData>
    <row r="1" spans="1:3" ht="61.5" customHeight="1">
      <c r="A1" s="83" t="s">
        <v>479</v>
      </c>
      <c r="B1" s="84"/>
      <c r="C1" s="85"/>
    </row>
    <row r="2" spans="1:3" ht="30.75" customHeight="1">
      <c r="A2" s="86" t="s">
        <v>573</v>
      </c>
      <c r="B2" s="81"/>
      <c r="C2" s="82"/>
    </row>
    <row r="3" spans="1:3" ht="30" customHeight="1">
      <c r="A3" s="16" t="s">
        <v>481</v>
      </c>
      <c r="B3" s="17" t="s">
        <v>482</v>
      </c>
      <c r="C3" s="18" t="s">
        <v>483</v>
      </c>
    </row>
    <row r="4" spans="1:3" ht="30" customHeight="1">
      <c r="A4" s="19">
        <v>1</v>
      </c>
      <c r="B4" s="17" t="s">
        <v>567</v>
      </c>
      <c r="C4" s="20"/>
    </row>
    <row r="5" spans="1:3" ht="45" customHeight="1">
      <c r="A5" s="19">
        <v>2</v>
      </c>
      <c r="B5" s="17" t="s">
        <v>494</v>
      </c>
      <c r="C5" s="20"/>
    </row>
    <row r="6" spans="1:3" ht="45" customHeight="1">
      <c r="A6" s="19">
        <v>3</v>
      </c>
      <c r="B6" s="17" t="s">
        <v>495</v>
      </c>
      <c r="C6" s="20"/>
    </row>
    <row r="7" spans="1:3" ht="30" customHeight="1">
      <c r="A7" s="19">
        <v>4</v>
      </c>
      <c r="B7" s="17" t="s">
        <v>496</v>
      </c>
      <c r="C7" s="20"/>
    </row>
    <row r="8" spans="1:3" ht="45" customHeight="1">
      <c r="A8" s="19">
        <v>5</v>
      </c>
      <c r="B8" s="17" t="s">
        <v>574</v>
      </c>
      <c r="C8" s="20"/>
    </row>
    <row r="9" spans="1:3" ht="45" customHeight="1">
      <c r="A9" s="19">
        <v>6</v>
      </c>
      <c r="B9" s="17" t="s">
        <v>575</v>
      </c>
      <c r="C9" s="20"/>
    </row>
    <row r="10" spans="1:3">
      <c r="A10" s="19"/>
      <c r="B10" s="15"/>
      <c r="C10" s="20"/>
    </row>
    <row r="11" spans="1:3">
      <c r="A11" s="19"/>
      <c r="B11" s="15"/>
      <c r="C11" s="20"/>
    </row>
    <row r="12" spans="1:3" ht="30" customHeight="1">
      <c r="A12" s="21" t="s">
        <v>475</v>
      </c>
      <c r="B12" s="21" t="s">
        <v>486</v>
      </c>
      <c r="C12" s="18" t="s">
        <v>487</v>
      </c>
    </row>
    <row r="13" spans="1:3" ht="66.75" customHeight="1">
      <c r="A13" s="19">
        <v>1</v>
      </c>
      <c r="B13" s="22" t="s">
        <v>576</v>
      </c>
      <c r="C13" s="20"/>
    </row>
    <row r="14" spans="1:3" ht="66.75" customHeight="1">
      <c r="A14" s="19">
        <v>2</v>
      </c>
      <c r="B14" s="22" t="s">
        <v>577</v>
      </c>
      <c r="C14" s="20"/>
    </row>
    <row r="15" spans="1:3" ht="66.75" customHeight="1">
      <c r="A15" s="19">
        <v>3</v>
      </c>
      <c r="B15" s="22" t="s">
        <v>578</v>
      </c>
      <c r="C15" s="34"/>
    </row>
    <row r="16" spans="1:3" ht="66.75" customHeight="1">
      <c r="A16" s="35"/>
      <c r="B16" s="36"/>
      <c r="C16" s="37"/>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C1000"/>
  <sheetViews>
    <sheetView workbookViewId="0"/>
  </sheetViews>
  <sheetFormatPr defaultColWidth="11.25" defaultRowHeight="15" customHeight="1"/>
  <cols>
    <col min="1" max="1" width="7.625" customWidth="1"/>
    <col min="2" max="2" width="53.375" customWidth="1"/>
    <col min="3" max="3" width="18.375" customWidth="1"/>
    <col min="4" max="6" width="8.75" customWidth="1"/>
    <col min="7" max="26" width="10" customWidth="1"/>
  </cols>
  <sheetData>
    <row r="1" spans="1:3" ht="64.5" customHeight="1">
      <c r="A1" s="83" t="s">
        <v>479</v>
      </c>
      <c r="B1" s="84"/>
      <c r="C1" s="85"/>
    </row>
    <row r="2" spans="1:3" ht="31.5" customHeight="1">
      <c r="A2" s="86" t="s">
        <v>579</v>
      </c>
      <c r="B2" s="81"/>
      <c r="C2" s="82"/>
    </row>
    <row r="3" spans="1:3" ht="30" customHeight="1">
      <c r="A3" s="16" t="s">
        <v>481</v>
      </c>
      <c r="B3" s="17" t="s">
        <v>482</v>
      </c>
      <c r="C3" s="18" t="s">
        <v>483</v>
      </c>
    </row>
    <row r="4" spans="1:3" ht="30" customHeight="1">
      <c r="A4" s="21" t="s">
        <v>475</v>
      </c>
      <c r="B4" s="21" t="s">
        <v>486</v>
      </c>
      <c r="C4" s="18" t="s">
        <v>487</v>
      </c>
    </row>
    <row r="5" spans="1:3" ht="39" customHeight="1">
      <c r="A5" s="46">
        <v>1</v>
      </c>
      <c r="B5" s="25" t="s">
        <v>580</v>
      </c>
      <c r="C5" s="47"/>
    </row>
    <row r="6" spans="1:3" ht="66.75" customHeight="1">
      <c r="A6" s="19"/>
      <c r="B6" s="22"/>
      <c r="C6" s="20"/>
    </row>
    <row r="7" spans="1:3" ht="66.75" customHeight="1">
      <c r="A7" s="19"/>
      <c r="B7" s="32"/>
      <c r="C7" s="20"/>
    </row>
    <row r="8" spans="1:3" ht="66.75" customHeight="1">
      <c r="A8" s="33"/>
      <c r="C8" s="34"/>
    </row>
    <row r="9" spans="1:3" ht="66.75" customHeight="1">
      <c r="A9" s="35"/>
      <c r="B9" s="36"/>
      <c r="C9" s="37"/>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C1000"/>
  <sheetViews>
    <sheetView workbookViewId="0"/>
  </sheetViews>
  <sheetFormatPr defaultColWidth="11.25" defaultRowHeight="15" customHeight="1"/>
  <cols>
    <col min="1" max="1" width="7.5" customWidth="1"/>
    <col min="2" max="2" width="53.375" customWidth="1"/>
    <col min="3" max="3" width="18.375" customWidth="1"/>
    <col min="4" max="6" width="8.75" customWidth="1"/>
    <col min="7" max="26" width="10" customWidth="1"/>
  </cols>
  <sheetData>
    <row r="1" spans="1:3" ht="63" customHeight="1">
      <c r="A1" s="83" t="s">
        <v>581</v>
      </c>
      <c r="B1" s="84"/>
      <c r="C1" s="85"/>
    </row>
    <row r="2" spans="1:3" ht="30.75" customHeight="1">
      <c r="A2" s="86" t="s">
        <v>582</v>
      </c>
      <c r="B2" s="81"/>
      <c r="C2" s="82"/>
    </row>
    <row r="3" spans="1:3" ht="30" customHeight="1">
      <c r="A3" s="16" t="s">
        <v>481</v>
      </c>
      <c r="B3" s="17" t="s">
        <v>482</v>
      </c>
      <c r="C3" s="18" t="s">
        <v>483</v>
      </c>
    </row>
    <row r="4" spans="1:3" ht="30" customHeight="1">
      <c r="A4" s="19">
        <v>1</v>
      </c>
      <c r="B4" s="17" t="s">
        <v>583</v>
      </c>
      <c r="C4" s="20"/>
    </row>
    <row r="5" spans="1:3" ht="30" customHeight="1">
      <c r="A5" s="21" t="s">
        <v>475</v>
      </c>
      <c r="B5" s="21" t="s">
        <v>486</v>
      </c>
      <c r="C5" s="18"/>
    </row>
    <row r="6" spans="1:3" ht="66.75" customHeight="1">
      <c r="A6" s="19">
        <v>1</v>
      </c>
      <c r="B6" s="22" t="s">
        <v>584</v>
      </c>
      <c r="C6" s="20"/>
    </row>
    <row r="7" spans="1:3" ht="66.75" customHeight="1">
      <c r="A7" s="19"/>
      <c r="B7" s="32"/>
      <c r="C7" s="20"/>
    </row>
    <row r="8" spans="1:3" ht="66.75" customHeight="1">
      <c r="A8" s="19"/>
      <c r="B8" s="32"/>
      <c r="C8" s="20"/>
    </row>
    <row r="9" spans="1:3" ht="66.75" customHeight="1">
      <c r="A9" s="33"/>
      <c r="C9" s="34"/>
    </row>
    <row r="10" spans="1:3" ht="66.75" customHeight="1">
      <c r="A10" s="35"/>
      <c r="B10" s="36"/>
      <c r="C10" s="37"/>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C1000"/>
  <sheetViews>
    <sheetView workbookViewId="0"/>
  </sheetViews>
  <sheetFormatPr defaultColWidth="11.25" defaultRowHeight="15" customHeight="1"/>
  <cols>
    <col min="1" max="1" width="7.75" customWidth="1"/>
    <col min="2" max="2" width="53.375" customWidth="1"/>
    <col min="3" max="3" width="18.375" customWidth="1"/>
    <col min="4" max="6" width="8.75" customWidth="1"/>
    <col min="7" max="26" width="10" customWidth="1"/>
  </cols>
  <sheetData>
    <row r="1" spans="1:3" ht="63" customHeight="1">
      <c r="A1" s="83" t="s">
        <v>479</v>
      </c>
      <c r="B1" s="84"/>
      <c r="C1" s="85"/>
    </row>
    <row r="2" spans="1:3" ht="30" customHeight="1">
      <c r="A2" s="86" t="s">
        <v>585</v>
      </c>
      <c r="B2" s="81"/>
      <c r="C2" s="82"/>
    </row>
    <row r="3" spans="1:3" ht="30" customHeight="1">
      <c r="A3" s="16" t="s">
        <v>586</v>
      </c>
      <c r="B3" s="17" t="s">
        <v>587</v>
      </c>
      <c r="C3" s="18" t="s">
        <v>588</v>
      </c>
    </row>
    <row r="4" spans="1:3" ht="57" customHeight="1">
      <c r="A4" s="19">
        <v>1</v>
      </c>
      <c r="B4" s="17" t="s">
        <v>589</v>
      </c>
      <c r="C4" s="20"/>
    </row>
    <row r="5" spans="1:3" ht="45" customHeight="1">
      <c r="A5" s="19">
        <v>2</v>
      </c>
      <c r="B5" s="17" t="s">
        <v>590</v>
      </c>
      <c r="C5" s="20"/>
    </row>
    <row r="6" spans="1:3" ht="30" customHeight="1">
      <c r="A6" s="48" t="s">
        <v>591</v>
      </c>
      <c r="B6" s="21" t="s">
        <v>486</v>
      </c>
      <c r="C6" s="18" t="s">
        <v>487</v>
      </c>
    </row>
    <row r="7" spans="1:3" ht="66.75" customHeight="1">
      <c r="A7" s="19">
        <v>1</v>
      </c>
      <c r="B7" s="22" t="s">
        <v>592</v>
      </c>
      <c r="C7" s="20"/>
    </row>
    <row r="8" spans="1:3" ht="66.75" customHeight="1">
      <c r="A8" s="19"/>
      <c r="B8" s="32"/>
      <c r="C8" s="20"/>
    </row>
    <row r="9" spans="1:3" ht="66.75" customHeight="1">
      <c r="A9" s="19"/>
      <c r="B9" s="32"/>
      <c r="C9" s="20"/>
    </row>
    <row r="10" spans="1:3" ht="66.75" customHeight="1">
      <c r="A10" s="33"/>
      <c r="C10" s="34"/>
    </row>
    <row r="11" spans="1:3" ht="66.75" customHeight="1">
      <c r="A11" s="35"/>
      <c r="B11" s="36"/>
      <c r="C11" s="37"/>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C1000"/>
  <sheetViews>
    <sheetView workbookViewId="0"/>
  </sheetViews>
  <sheetFormatPr defaultColWidth="11.25" defaultRowHeight="15" customHeight="1"/>
  <cols>
    <col min="1" max="1" width="5.5" customWidth="1"/>
    <col min="2" max="2" width="53.375" customWidth="1"/>
    <col min="3" max="3" width="18.375" customWidth="1"/>
    <col min="4" max="4" width="20" customWidth="1"/>
    <col min="5" max="5" width="12.25" customWidth="1"/>
    <col min="6" max="6" width="8.75" customWidth="1"/>
    <col min="7" max="26" width="10" customWidth="1"/>
  </cols>
  <sheetData>
    <row r="1" spans="1:3" ht="66" customHeight="1">
      <c r="A1" s="83" t="s">
        <v>479</v>
      </c>
      <c r="B1" s="84"/>
      <c r="C1" s="85"/>
    </row>
    <row r="2" spans="1:3" ht="30" customHeight="1">
      <c r="A2" s="86" t="s">
        <v>593</v>
      </c>
      <c r="B2" s="81"/>
      <c r="C2" s="82"/>
    </row>
    <row r="3" spans="1:3" ht="30" customHeight="1">
      <c r="A3" s="16" t="s">
        <v>586</v>
      </c>
      <c r="B3" s="17" t="s">
        <v>587</v>
      </c>
      <c r="C3" s="18" t="s">
        <v>588</v>
      </c>
    </row>
    <row r="4" spans="1:3" ht="36" customHeight="1">
      <c r="A4" s="19">
        <v>1</v>
      </c>
      <c r="B4" s="17" t="s">
        <v>594</v>
      </c>
      <c r="C4" s="20"/>
    </row>
    <row r="5" spans="1:3" ht="45" customHeight="1">
      <c r="A5" s="19">
        <v>2</v>
      </c>
      <c r="B5" s="17" t="s">
        <v>595</v>
      </c>
      <c r="C5" s="20"/>
    </row>
    <row r="6" spans="1:3" ht="30" customHeight="1">
      <c r="A6" s="19">
        <v>3</v>
      </c>
      <c r="B6" s="17" t="s">
        <v>590</v>
      </c>
      <c r="C6" s="20"/>
    </row>
    <row r="7" spans="1:3" ht="30" customHeight="1">
      <c r="A7" s="19">
        <v>4</v>
      </c>
      <c r="B7" s="17" t="s">
        <v>596</v>
      </c>
      <c r="C7" s="20"/>
    </row>
    <row r="8" spans="1:3" ht="45" customHeight="1">
      <c r="A8" s="19">
        <v>5</v>
      </c>
      <c r="B8" s="17" t="s">
        <v>597</v>
      </c>
      <c r="C8" s="20"/>
    </row>
    <row r="9" spans="1:3" ht="30" customHeight="1">
      <c r="A9" s="19">
        <v>6</v>
      </c>
      <c r="B9" s="17" t="s">
        <v>598</v>
      </c>
      <c r="C9" s="20"/>
    </row>
    <row r="10" spans="1:3" ht="45" customHeight="1">
      <c r="A10" s="19">
        <v>7</v>
      </c>
      <c r="B10" s="17" t="s">
        <v>599</v>
      </c>
      <c r="C10" s="20"/>
    </row>
    <row r="11" spans="1:3">
      <c r="A11" s="19"/>
      <c r="B11" s="15"/>
      <c r="C11" s="20"/>
    </row>
    <row r="12" spans="1:3">
      <c r="A12" s="19"/>
      <c r="B12" s="15"/>
      <c r="C12" s="20"/>
    </row>
    <row r="13" spans="1:3">
      <c r="A13" s="19"/>
      <c r="B13" s="15"/>
      <c r="C13" s="20"/>
    </row>
    <row r="14" spans="1:3" ht="30" customHeight="1">
      <c r="A14" s="48" t="s">
        <v>591</v>
      </c>
      <c r="B14" s="21" t="s">
        <v>486</v>
      </c>
      <c r="C14" s="18" t="s">
        <v>487</v>
      </c>
    </row>
    <row r="15" spans="1:3" ht="66.75" customHeight="1">
      <c r="A15" s="19">
        <v>1</v>
      </c>
      <c r="B15" s="22" t="s">
        <v>600</v>
      </c>
      <c r="C15" s="20"/>
    </row>
    <row r="16" spans="1:3" ht="66.75" customHeight="1">
      <c r="A16" s="19"/>
      <c r="B16" s="22"/>
      <c r="C16" s="20"/>
    </row>
    <row r="17" spans="1:3" ht="66.75" customHeight="1">
      <c r="A17" s="19"/>
      <c r="B17" s="22"/>
      <c r="C17" s="20"/>
    </row>
    <row r="18" spans="1:3" ht="66.75" customHeight="1">
      <c r="A18" s="35"/>
      <c r="B18" s="36"/>
      <c r="C18" s="37"/>
    </row>
    <row r="19" spans="1:3">
      <c r="A19" s="23"/>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C1000"/>
  <sheetViews>
    <sheetView workbookViewId="0"/>
  </sheetViews>
  <sheetFormatPr defaultColWidth="11.25" defaultRowHeight="15" customHeight="1"/>
  <cols>
    <col min="1" max="1" width="5.5" customWidth="1"/>
    <col min="2" max="2" width="53.375" customWidth="1"/>
    <col min="3" max="3" width="18.375" customWidth="1"/>
    <col min="4" max="6" width="8.75" customWidth="1"/>
    <col min="7" max="26" width="10" customWidth="1"/>
  </cols>
  <sheetData>
    <row r="1" spans="1:3" ht="75" customHeight="1">
      <c r="A1" s="83" t="s">
        <v>479</v>
      </c>
      <c r="B1" s="84"/>
      <c r="C1" s="85"/>
    </row>
    <row r="2" spans="1:3" ht="30" customHeight="1">
      <c r="A2" s="86" t="s">
        <v>601</v>
      </c>
      <c r="B2" s="81"/>
      <c r="C2" s="82"/>
    </row>
    <row r="3" spans="1:3" ht="30" customHeight="1">
      <c r="A3" s="16" t="s">
        <v>586</v>
      </c>
      <c r="B3" s="17" t="s">
        <v>587</v>
      </c>
      <c r="C3" s="18" t="s">
        <v>588</v>
      </c>
    </row>
    <row r="4" spans="1:3" ht="54.75" customHeight="1">
      <c r="A4" s="48" t="s">
        <v>591</v>
      </c>
      <c r="B4" s="21" t="s">
        <v>486</v>
      </c>
      <c r="C4" s="18"/>
    </row>
    <row r="5" spans="1:3" ht="66.75" customHeight="1">
      <c r="A5" s="19">
        <v>1</v>
      </c>
      <c r="B5" s="22" t="s">
        <v>602</v>
      </c>
      <c r="C5" s="44"/>
    </row>
    <row r="6" spans="1:3" ht="66.75" customHeight="1">
      <c r="A6" s="19"/>
      <c r="B6" s="22"/>
      <c r="C6" s="20"/>
    </row>
    <row r="7" spans="1:3" ht="66.75" customHeight="1">
      <c r="A7" s="33"/>
      <c r="C7" s="34"/>
    </row>
    <row r="8" spans="1:3" ht="66.75" customHeight="1">
      <c r="A8" s="35"/>
      <c r="B8" s="36"/>
      <c r="C8" s="37"/>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G1000"/>
  <sheetViews>
    <sheetView workbookViewId="0"/>
  </sheetViews>
  <sheetFormatPr defaultColWidth="11.25" defaultRowHeight="15" customHeight="1"/>
  <cols>
    <col min="1" max="1" width="5.5" customWidth="1"/>
    <col min="2" max="2" width="53.375" customWidth="1"/>
    <col min="3" max="3" width="18.375" customWidth="1"/>
    <col min="4" max="4" width="12.5" customWidth="1"/>
    <col min="5" max="7" width="8.75" customWidth="1"/>
    <col min="8" max="26" width="10" customWidth="1"/>
  </cols>
  <sheetData>
    <row r="1" spans="1:7" ht="57" customHeight="1">
      <c r="A1" s="83" t="s">
        <v>479</v>
      </c>
      <c r="B1" s="84"/>
      <c r="C1" s="85"/>
    </row>
    <row r="2" spans="1:7" ht="28.5" customHeight="1">
      <c r="A2" s="86" t="s">
        <v>603</v>
      </c>
      <c r="B2" s="81"/>
      <c r="C2" s="82"/>
    </row>
    <row r="3" spans="1:7" ht="30" customHeight="1">
      <c r="A3" s="16" t="s">
        <v>586</v>
      </c>
      <c r="B3" s="17" t="s">
        <v>587</v>
      </c>
      <c r="C3" s="18" t="s">
        <v>588</v>
      </c>
    </row>
    <row r="4" spans="1:7" ht="30" customHeight="1">
      <c r="A4" s="19">
        <v>1</v>
      </c>
      <c r="B4" s="17" t="s">
        <v>604</v>
      </c>
      <c r="C4" s="20"/>
    </row>
    <row r="5" spans="1:7" ht="30" customHeight="1">
      <c r="A5" s="19">
        <v>2</v>
      </c>
      <c r="B5" s="17" t="s">
        <v>605</v>
      </c>
      <c r="C5" s="20"/>
    </row>
    <row r="6" spans="1:7" ht="45" customHeight="1">
      <c r="A6" s="19">
        <v>3</v>
      </c>
      <c r="B6" s="29" t="s">
        <v>606</v>
      </c>
      <c r="C6" s="20"/>
    </row>
    <row r="7" spans="1:7" ht="30" customHeight="1">
      <c r="A7" s="19">
        <v>4</v>
      </c>
      <c r="B7" s="17" t="s">
        <v>607</v>
      </c>
      <c r="C7" s="20"/>
    </row>
    <row r="8" spans="1:7" ht="30" customHeight="1">
      <c r="A8" s="19">
        <v>5</v>
      </c>
      <c r="B8" s="17" t="s">
        <v>608</v>
      </c>
      <c r="C8" s="20"/>
    </row>
    <row r="9" spans="1:7" ht="30" customHeight="1">
      <c r="A9" s="19">
        <v>6</v>
      </c>
      <c r="B9" s="17" t="s">
        <v>609</v>
      </c>
      <c r="C9" s="20"/>
    </row>
    <row r="10" spans="1:7" ht="30" customHeight="1">
      <c r="A10" s="19">
        <v>7</v>
      </c>
      <c r="B10" s="17" t="s">
        <v>610</v>
      </c>
      <c r="C10" s="20"/>
    </row>
    <row r="11" spans="1:7" ht="30" customHeight="1">
      <c r="A11" s="38">
        <v>8</v>
      </c>
      <c r="B11" s="17" t="s">
        <v>611</v>
      </c>
      <c r="C11" s="20"/>
    </row>
    <row r="12" spans="1:7">
      <c r="A12" s="38"/>
      <c r="B12" s="15"/>
      <c r="C12" s="20"/>
    </row>
    <row r="13" spans="1:7">
      <c r="A13" s="19"/>
      <c r="B13" s="15"/>
      <c r="C13" s="20"/>
    </row>
    <row r="14" spans="1:7" ht="36" customHeight="1">
      <c r="A14" s="48" t="s">
        <v>591</v>
      </c>
      <c r="B14" s="21" t="s">
        <v>486</v>
      </c>
      <c r="C14" s="18" t="s">
        <v>487</v>
      </c>
      <c r="G14" s="20"/>
    </row>
    <row r="15" spans="1:7" ht="76.5" customHeight="1">
      <c r="A15" s="22">
        <v>1</v>
      </c>
      <c r="B15" s="22" t="s">
        <v>612</v>
      </c>
      <c r="C15" s="12"/>
    </row>
    <row r="16" spans="1:7" ht="76.5" customHeight="1">
      <c r="A16" s="22">
        <v>2</v>
      </c>
      <c r="B16" s="22" t="s">
        <v>613</v>
      </c>
      <c r="C16" s="12"/>
    </row>
    <row r="17" spans="1:7" ht="76.5" customHeight="1">
      <c r="A17" s="22">
        <v>3</v>
      </c>
      <c r="B17" s="22" t="s">
        <v>614</v>
      </c>
    </row>
    <row r="18" spans="1:7" ht="66.75" customHeight="1">
      <c r="A18" s="46">
        <v>4</v>
      </c>
      <c r="B18" s="22" t="s">
        <v>615</v>
      </c>
    </row>
    <row r="19" spans="1:7" ht="66.75" customHeight="1">
      <c r="A19" s="46">
        <v>5</v>
      </c>
      <c r="B19" s="22" t="s">
        <v>616</v>
      </c>
      <c r="C19" s="20"/>
      <c r="D19" s="12"/>
    </row>
    <row r="20" spans="1:7" ht="66.75" customHeight="1">
      <c r="A20" s="46">
        <v>6</v>
      </c>
      <c r="B20" s="22" t="s">
        <v>617</v>
      </c>
      <c r="C20" s="20"/>
      <c r="D20" s="12"/>
      <c r="G20" s="20"/>
    </row>
    <row r="21" spans="1:7" ht="66.75" customHeight="1">
      <c r="A21" s="33"/>
      <c r="C21" s="34"/>
    </row>
    <row r="22" spans="1:7" ht="66.75" customHeight="1">
      <c r="A22" s="35"/>
      <c r="B22" s="36"/>
      <c r="C22" s="37"/>
    </row>
    <row r="23" spans="1:7" ht="15.75" customHeight="1">
      <c r="A23" s="23"/>
    </row>
    <row r="24" spans="1:7" ht="15.75" customHeight="1">
      <c r="A24" s="23"/>
    </row>
    <row r="25" spans="1:7" ht="15.75" customHeight="1">
      <c r="A25" s="23"/>
    </row>
    <row r="26" spans="1:7" ht="15.75" customHeight="1">
      <c r="A26" s="23"/>
    </row>
    <row r="27" spans="1:7" ht="15.75" customHeight="1">
      <c r="A27" s="23"/>
    </row>
    <row r="28" spans="1:7" ht="15.75" customHeight="1">
      <c r="A28" s="23"/>
    </row>
    <row r="29" spans="1:7" ht="15.75" customHeight="1">
      <c r="A29" s="23"/>
    </row>
    <row r="30" spans="1:7" ht="15.75" customHeight="1">
      <c r="A30" s="23"/>
    </row>
    <row r="31" spans="1:7" ht="15.75" customHeight="1">
      <c r="A31" s="23"/>
    </row>
    <row r="32" spans="1:7"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C1000"/>
  <sheetViews>
    <sheetView workbookViewId="0"/>
  </sheetViews>
  <sheetFormatPr defaultColWidth="11.25" defaultRowHeight="15" customHeight="1"/>
  <cols>
    <col min="1" max="1" width="5.5" customWidth="1"/>
    <col min="2" max="2" width="53.375" customWidth="1"/>
    <col min="3" max="3" width="18.375" customWidth="1"/>
    <col min="4" max="6" width="8.75" customWidth="1"/>
    <col min="7" max="26" width="10" customWidth="1"/>
  </cols>
  <sheetData>
    <row r="1" spans="1:3" ht="60" customHeight="1">
      <c r="A1" s="83" t="s">
        <v>479</v>
      </c>
      <c r="B1" s="84"/>
      <c r="C1" s="85"/>
    </row>
    <row r="2" spans="1:3" ht="28.5" customHeight="1">
      <c r="A2" s="86" t="s">
        <v>618</v>
      </c>
      <c r="B2" s="81"/>
      <c r="C2" s="82"/>
    </row>
    <row r="3" spans="1:3" ht="30" customHeight="1">
      <c r="A3" s="16" t="s">
        <v>586</v>
      </c>
      <c r="B3" s="17" t="s">
        <v>587</v>
      </c>
      <c r="C3" s="18" t="s">
        <v>588</v>
      </c>
    </row>
    <row r="4" spans="1:3" ht="30" customHeight="1">
      <c r="A4" s="48" t="s">
        <v>591</v>
      </c>
      <c r="B4" s="21" t="s">
        <v>486</v>
      </c>
      <c r="C4" s="18" t="s">
        <v>487</v>
      </c>
    </row>
    <row r="5" spans="1:3" ht="66.75" customHeight="1">
      <c r="A5" s="19">
        <v>1</v>
      </c>
      <c r="B5" s="22" t="s">
        <v>619</v>
      </c>
      <c r="C5" s="20"/>
    </row>
    <row r="6" spans="1:3" ht="66.75" customHeight="1">
      <c r="A6" s="19"/>
      <c r="B6" s="15"/>
      <c r="C6" s="20"/>
    </row>
    <row r="7" spans="1:3" ht="66.75" customHeight="1">
      <c r="A7" s="19"/>
      <c r="B7" s="49"/>
      <c r="C7" s="20"/>
    </row>
    <row r="8" spans="1:3" ht="66.75" customHeight="1">
      <c r="A8" s="26"/>
      <c r="B8" s="50"/>
      <c r="C8" s="28"/>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C1000"/>
  <sheetViews>
    <sheetView workbookViewId="0"/>
  </sheetViews>
  <sheetFormatPr defaultColWidth="11.25" defaultRowHeight="15" customHeight="1"/>
  <cols>
    <col min="1" max="1" width="5.5" customWidth="1"/>
    <col min="2" max="2" width="53.375" customWidth="1"/>
    <col min="3" max="3" width="18.375" customWidth="1"/>
    <col min="4" max="6" width="8.75" customWidth="1"/>
    <col min="7" max="26" width="10" customWidth="1"/>
  </cols>
  <sheetData>
    <row r="1" spans="1:3" ht="63.75" customHeight="1">
      <c r="A1" s="83" t="s">
        <v>479</v>
      </c>
      <c r="B1" s="84"/>
      <c r="C1" s="85"/>
    </row>
    <row r="2" spans="1:3" ht="63.75" customHeight="1">
      <c r="A2" s="86" t="s">
        <v>620</v>
      </c>
      <c r="B2" s="81"/>
      <c r="C2" s="82"/>
    </row>
    <row r="3" spans="1:3" ht="63.75" customHeight="1">
      <c r="A3" s="16" t="s">
        <v>586</v>
      </c>
      <c r="B3" s="17" t="s">
        <v>587</v>
      </c>
      <c r="C3" s="18" t="s">
        <v>588</v>
      </c>
    </row>
    <row r="4" spans="1:3" ht="63.75" customHeight="1">
      <c r="A4" s="19">
        <v>1</v>
      </c>
      <c r="B4" s="17" t="s">
        <v>621</v>
      </c>
      <c r="C4" s="20"/>
    </row>
    <row r="5" spans="1:3" ht="63.75" customHeight="1">
      <c r="A5" s="48" t="s">
        <v>591</v>
      </c>
      <c r="B5" s="21" t="s">
        <v>486</v>
      </c>
      <c r="C5" s="18" t="s">
        <v>487</v>
      </c>
    </row>
    <row r="6" spans="1:3" ht="63.75" customHeight="1">
      <c r="A6" s="19">
        <v>1</v>
      </c>
      <c r="B6" s="22" t="s">
        <v>622</v>
      </c>
      <c r="C6" s="20"/>
    </row>
    <row r="7" spans="1:3" ht="63.75" customHeight="1">
      <c r="A7" s="19"/>
      <c r="B7" s="15"/>
      <c r="C7" s="20"/>
    </row>
    <row r="8" spans="1:3" ht="63.75" customHeight="1">
      <c r="A8" s="19"/>
      <c r="B8" s="49"/>
      <c r="C8" s="20"/>
    </row>
    <row r="9" spans="1:3" ht="63.75" customHeight="1">
      <c r="A9" s="26"/>
      <c r="B9" s="50"/>
      <c r="C9" s="28"/>
    </row>
    <row r="10" spans="1:3" ht="63.75" customHeight="1">
      <c r="A10" s="23"/>
    </row>
    <row r="11" spans="1:3" ht="63.75" customHeight="1">
      <c r="A11" s="23"/>
    </row>
    <row r="12" spans="1:3" ht="63.75" customHeight="1">
      <c r="A12" s="23"/>
    </row>
    <row r="13" spans="1:3" ht="63.75" customHeight="1">
      <c r="A13" s="23"/>
    </row>
    <row r="14" spans="1:3" ht="63.75" customHeight="1">
      <c r="A14" s="23"/>
    </row>
    <row r="15" spans="1:3" ht="63.75" customHeight="1">
      <c r="A15" s="23"/>
    </row>
    <row r="16" spans="1:3" ht="63.75" customHeight="1">
      <c r="A16" s="23"/>
    </row>
    <row r="17" spans="1:1" ht="63.75" customHeight="1">
      <c r="A17" s="23"/>
    </row>
    <row r="18" spans="1:1" ht="63.75" customHeight="1">
      <c r="A18" s="23"/>
    </row>
    <row r="19" spans="1:1" ht="63.75" customHeight="1">
      <c r="A19" s="23"/>
    </row>
    <row r="20" spans="1:1" ht="63.75" customHeight="1">
      <c r="A20" s="23"/>
    </row>
    <row r="21" spans="1:1" ht="63.75" customHeight="1">
      <c r="A21" s="23"/>
    </row>
    <row r="22" spans="1:1" ht="63.75" customHeight="1">
      <c r="A22" s="23"/>
    </row>
    <row r="23" spans="1:1" ht="63.75" customHeight="1">
      <c r="A23" s="23"/>
    </row>
    <row r="24" spans="1:1" ht="63.75" customHeight="1">
      <c r="A24" s="23"/>
    </row>
    <row r="25" spans="1:1" ht="63.75" customHeight="1">
      <c r="A25" s="23"/>
    </row>
    <row r="26" spans="1:1" ht="63.75" customHeight="1">
      <c r="A26" s="23"/>
    </row>
    <row r="27" spans="1:1" ht="63.75" customHeight="1">
      <c r="A27" s="23"/>
    </row>
    <row r="28" spans="1:1" ht="63.75" customHeight="1">
      <c r="A28" s="23"/>
    </row>
    <row r="29" spans="1:1" ht="63.75" customHeight="1">
      <c r="A29" s="23"/>
    </row>
    <row r="30" spans="1:1" ht="63.75" customHeight="1">
      <c r="A30" s="23"/>
    </row>
    <row r="31" spans="1:1" ht="63.75" customHeight="1">
      <c r="A31" s="23"/>
    </row>
    <row r="32" spans="1:1" ht="63.75" customHeight="1">
      <c r="A32" s="23"/>
    </row>
    <row r="33" spans="1:1" ht="63.75" customHeight="1">
      <c r="A33" s="23"/>
    </row>
    <row r="34" spans="1:1" ht="63.75" customHeight="1">
      <c r="A34" s="23"/>
    </row>
    <row r="35" spans="1:1" ht="63.75" customHeight="1">
      <c r="A35" s="23"/>
    </row>
    <row r="36" spans="1:1" ht="63.75" customHeight="1">
      <c r="A36" s="23"/>
    </row>
    <row r="37" spans="1:1" ht="63.75" customHeight="1">
      <c r="A37" s="23"/>
    </row>
    <row r="38" spans="1:1" ht="63.75" customHeight="1">
      <c r="A38" s="23"/>
    </row>
    <row r="39" spans="1:1" ht="63.75" customHeight="1">
      <c r="A39" s="23"/>
    </row>
    <row r="40" spans="1:1" ht="63.75" customHeight="1">
      <c r="A40" s="23"/>
    </row>
    <row r="41" spans="1:1" ht="63.75" customHeight="1">
      <c r="A41" s="23"/>
    </row>
    <row r="42" spans="1:1" ht="63.75" customHeight="1">
      <c r="A42" s="23"/>
    </row>
    <row r="43" spans="1:1" ht="63.75" customHeight="1">
      <c r="A43" s="23"/>
    </row>
    <row r="44" spans="1:1" ht="63.75" customHeight="1">
      <c r="A44" s="23"/>
    </row>
    <row r="45" spans="1:1" ht="63.75" customHeight="1">
      <c r="A45" s="23"/>
    </row>
    <row r="46" spans="1:1" ht="63.75" customHeight="1">
      <c r="A46" s="23"/>
    </row>
    <row r="47" spans="1:1" ht="63.75" customHeight="1">
      <c r="A47" s="23"/>
    </row>
    <row r="48" spans="1:1" ht="63.75" customHeight="1">
      <c r="A48" s="23"/>
    </row>
    <row r="49" spans="1:1" ht="63.75" customHeight="1">
      <c r="A49" s="23"/>
    </row>
    <row r="50" spans="1:1" ht="63.75" customHeight="1">
      <c r="A50" s="23"/>
    </row>
    <row r="51" spans="1:1" ht="63.75" customHeight="1">
      <c r="A51" s="23"/>
    </row>
    <row r="52" spans="1:1" ht="63.75" customHeight="1">
      <c r="A52" s="23"/>
    </row>
    <row r="53" spans="1:1" ht="63.75" customHeight="1">
      <c r="A53" s="23"/>
    </row>
    <row r="54" spans="1:1" ht="63.75" customHeight="1">
      <c r="A54" s="23"/>
    </row>
    <row r="55" spans="1:1" ht="63.75" customHeight="1">
      <c r="A55" s="23"/>
    </row>
    <row r="56" spans="1:1" ht="63.75" customHeight="1">
      <c r="A56" s="23"/>
    </row>
    <row r="57" spans="1:1" ht="63.75" customHeight="1">
      <c r="A57" s="23"/>
    </row>
    <row r="58" spans="1:1" ht="63.75" customHeight="1">
      <c r="A58" s="23"/>
    </row>
    <row r="59" spans="1:1" ht="63.75" customHeight="1">
      <c r="A59" s="23"/>
    </row>
    <row r="60" spans="1:1" ht="63.75" customHeight="1">
      <c r="A60" s="23"/>
    </row>
    <row r="61" spans="1:1" ht="63.75" customHeight="1">
      <c r="A61" s="23"/>
    </row>
    <row r="62" spans="1:1" ht="63.75" customHeight="1">
      <c r="A62" s="23"/>
    </row>
    <row r="63" spans="1:1" ht="63.75" customHeight="1">
      <c r="A63" s="23"/>
    </row>
    <row r="64" spans="1:1" ht="63.75" customHeight="1">
      <c r="A64" s="23"/>
    </row>
    <row r="65" spans="1:1" ht="63.75" customHeight="1">
      <c r="A65" s="23"/>
    </row>
    <row r="66" spans="1:1" ht="63.75" customHeight="1">
      <c r="A66" s="23"/>
    </row>
    <row r="67" spans="1:1" ht="63.75" customHeight="1">
      <c r="A67" s="23"/>
    </row>
    <row r="68" spans="1:1" ht="63.75" customHeight="1">
      <c r="A68" s="23"/>
    </row>
    <row r="69" spans="1:1" ht="63.75" customHeight="1">
      <c r="A69" s="23"/>
    </row>
    <row r="70" spans="1:1" ht="63.75" customHeight="1">
      <c r="A70" s="23"/>
    </row>
    <row r="71" spans="1:1" ht="63.75" customHeight="1">
      <c r="A71" s="23"/>
    </row>
    <row r="72" spans="1:1" ht="63.75" customHeight="1">
      <c r="A72" s="23"/>
    </row>
    <row r="73" spans="1:1" ht="63.75" customHeight="1">
      <c r="A73" s="23"/>
    </row>
    <row r="74" spans="1:1" ht="63.75" customHeight="1">
      <c r="A74" s="23"/>
    </row>
    <row r="75" spans="1:1" ht="63.75" customHeight="1">
      <c r="A75" s="23"/>
    </row>
    <row r="76" spans="1:1" ht="63.75" customHeight="1">
      <c r="A76" s="23"/>
    </row>
    <row r="77" spans="1:1" ht="63.75" customHeight="1">
      <c r="A77" s="23"/>
    </row>
    <row r="78" spans="1:1" ht="63.75" customHeight="1">
      <c r="A78" s="23"/>
    </row>
    <row r="79" spans="1:1" ht="63.75" customHeight="1">
      <c r="A79" s="23"/>
    </row>
    <row r="80" spans="1:1" ht="63.75" customHeight="1">
      <c r="A80" s="23"/>
    </row>
    <row r="81" spans="1:1" ht="63.75" customHeight="1">
      <c r="A81" s="23"/>
    </row>
    <row r="82" spans="1:1" ht="63.75" customHeight="1">
      <c r="A82" s="23"/>
    </row>
    <row r="83" spans="1:1" ht="63.75" customHeight="1">
      <c r="A83" s="23"/>
    </row>
    <row r="84" spans="1:1" ht="63.75" customHeight="1">
      <c r="A84" s="23"/>
    </row>
    <row r="85" spans="1:1" ht="63.75" customHeight="1">
      <c r="A85" s="23"/>
    </row>
    <row r="86" spans="1:1" ht="63.75" customHeight="1">
      <c r="A86" s="23"/>
    </row>
    <row r="87" spans="1:1" ht="63.75" customHeight="1">
      <c r="A87" s="23"/>
    </row>
    <row r="88" spans="1:1" ht="63.75" customHeight="1">
      <c r="A88" s="23"/>
    </row>
    <row r="89" spans="1:1" ht="63.75" customHeight="1">
      <c r="A89" s="23"/>
    </row>
    <row r="90" spans="1:1" ht="63.75" customHeight="1">
      <c r="A90" s="23"/>
    </row>
    <row r="91" spans="1:1" ht="63.75" customHeight="1">
      <c r="A91" s="23"/>
    </row>
    <row r="92" spans="1:1" ht="63.75" customHeight="1">
      <c r="A92" s="23"/>
    </row>
    <row r="93" spans="1:1" ht="63.75" customHeight="1">
      <c r="A93" s="23"/>
    </row>
    <row r="94" spans="1:1" ht="63.75" customHeight="1">
      <c r="A94" s="23"/>
    </row>
    <row r="95" spans="1:1" ht="63.75" customHeight="1">
      <c r="A95" s="23"/>
    </row>
    <row r="96" spans="1:1" ht="63.75" customHeight="1">
      <c r="A96" s="23"/>
    </row>
    <row r="97" spans="1:1" ht="63.75" customHeight="1">
      <c r="A97" s="23"/>
    </row>
    <row r="98" spans="1:1" ht="63.75" customHeight="1">
      <c r="A98" s="23"/>
    </row>
    <row r="99" spans="1:1" ht="63.75" customHeight="1">
      <c r="A99" s="23"/>
    </row>
    <row r="100" spans="1:1" ht="63.75" customHeight="1">
      <c r="A100" s="23"/>
    </row>
    <row r="101" spans="1:1" ht="63.75" customHeight="1">
      <c r="A101" s="23"/>
    </row>
    <row r="102" spans="1:1" ht="63.75" customHeight="1">
      <c r="A102" s="23"/>
    </row>
    <row r="103" spans="1:1" ht="63.75" customHeight="1">
      <c r="A103" s="23"/>
    </row>
    <row r="104" spans="1:1" ht="63.75" customHeight="1">
      <c r="A104" s="23"/>
    </row>
    <row r="105" spans="1:1" ht="63.75" customHeight="1">
      <c r="A105" s="23"/>
    </row>
    <row r="106" spans="1:1" ht="63.75" customHeight="1">
      <c r="A106" s="23"/>
    </row>
    <row r="107" spans="1:1" ht="63.75" customHeight="1">
      <c r="A107" s="23"/>
    </row>
    <row r="108" spans="1:1" ht="63.75" customHeight="1">
      <c r="A108" s="23"/>
    </row>
    <row r="109" spans="1:1" ht="63.75" customHeight="1">
      <c r="A109" s="23"/>
    </row>
    <row r="110" spans="1:1" ht="63.75" customHeight="1">
      <c r="A110" s="23"/>
    </row>
    <row r="111" spans="1:1" ht="63.75" customHeight="1">
      <c r="A111" s="23"/>
    </row>
    <row r="112" spans="1:1" ht="63.75" customHeight="1">
      <c r="A112" s="23"/>
    </row>
    <row r="113" spans="1:1" ht="63.75" customHeight="1">
      <c r="A113" s="23"/>
    </row>
    <row r="114" spans="1:1" ht="63.75" customHeight="1">
      <c r="A114" s="23"/>
    </row>
    <row r="115" spans="1:1" ht="63.75" customHeight="1">
      <c r="A115" s="23"/>
    </row>
    <row r="116" spans="1:1" ht="63.75" customHeight="1">
      <c r="A116" s="23"/>
    </row>
    <row r="117" spans="1:1" ht="63.75" customHeight="1">
      <c r="A117" s="23"/>
    </row>
    <row r="118" spans="1:1" ht="63.75" customHeight="1">
      <c r="A118" s="23"/>
    </row>
    <row r="119" spans="1:1" ht="63.75" customHeight="1">
      <c r="A119" s="23"/>
    </row>
    <row r="120" spans="1:1" ht="63.75" customHeight="1">
      <c r="A120" s="23"/>
    </row>
    <row r="121" spans="1:1" ht="63.75" customHeight="1">
      <c r="A121" s="23"/>
    </row>
    <row r="122" spans="1:1" ht="63.75" customHeight="1">
      <c r="A122" s="23"/>
    </row>
    <row r="123" spans="1:1" ht="63.75" customHeight="1">
      <c r="A123" s="23"/>
    </row>
    <row r="124" spans="1:1" ht="63.75" customHeight="1">
      <c r="A124" s="23"/>
    </row>
    <row r="125" spans="1:1" ht="63.75" customHeight="1">
      <c r="A125" s="23"/>
    </row>
    <row r="126" spans="1:1" ht="63.75" customHeight="1">
      <c r="A126" s="23"/>
    </row>
    <row r="127" spans="1:1" ht="63.75" customHeight="1">
      <c r="A127" s="23"/>
    </row>
    <row r="128" spans="1:1" ht="63.75" customHeight="1">
      <c r="A128" s="23"/>
    </row>
    <row r="129" spans="1:1" ht="63.75" customHeight="1">
      <c r="A129" s="23"/>
    </row>
    <row r="130" spans="1:1" ht="63.75" customHeight="1">
      <c r="A130" s="23"/>
    </row>
    <row r="131" spans="1:1" ht="63.75" customHeight="1">
      <c r="A131" s="23"/>
    </row>
    <row r="132" spans="1:1" ht="63.75" customHeight="1">
      <c r="A132" s="23"/>
    </row>
    <row r="133" spans="1:1" ht="63.75" customHeight="1">
      <c r="A133" s="23"/>
    </row>
    <row r="134" spans="1:1" ht="63.75" customHeight="1">
      <c r="A134" s="23"/>
    </row>
    <row r="135" spans="1:1" ht="63.75" customHeight="1">
      <c r="A135" s="23"/>
    </row>
    <row r="136" spans="1:1" ht="63.75" customHeight="1">
      <c r="A136" s="23"/>
    </row>
    <row r="137" spans="1:1" ht="63.75" customHeight="1">
      <c r="A137" s="23"/>
    </row>
    <row r="138" spans="1:1" ht="63.75" customHeight="1">
      <c r="A138" s="23"/>
    </row>
    <row r="139" spans="1:1" ht="63.75" customHeight="1">
      <c r="A139" s="23"/>
    </row>
    <row r="140" spans="1:1" ht="63.75" customHeight="1">
      <c r="A140" s="23"/>
    </row>
    <row r="141" spans="1:1" ht="63.75" customHeight="1">
      <c r="A141" s="23"/>
    </row>
    <row r="142" spans="1:1" ht="63.75" customHeight="1">
      <c r="A142" s="23"/>
    </row>
    <row r="143" spans="1:1" ht="63.75" customHeight="1">
      <c r="A143" s="23"/>
    </row>
    <row r="144" spans="1:1" ht="63.75" customHeight="1">
      <c r="A144" s="23"/>
    </row>
    <row r="145" spans="1:1" ht="63.75" customHeight="1">
      <c r="A145" s="23"/>
    </row>
    <row r="146" spans="1:1" ht="63.75" customHeight="1">
      <c r="A146" s="23"/>
    </row>
    <row r="147" spans="1:1" ht="63.75" customHeight="1">
      <c r="A147" s="23"/>
    </row>
    <row r="148" spans="1:1" ht="63.75" customHeight="1">
      <c r="A148" s="23"/>
    </row>
    <row r="149" spans="1:1" ht="63.75" customHeight="1">
      <c r="A149" s="23"/>
    </row>
    <row r="150" spans="1:1" ht="63.75" customHeight="1">
      <c r="A150" s="23"/>
    </row>
    <row r="151" spans="1:1" ht="63.75" customHeight="1">
      <c r="A151" s="23"/>
    </row>
    <row r="152" spans="1:1" ht="63.75" customHeight="1">
      <c r="A152" s="23"/>
    </row>
    <row r="153" spans="1:1" ht="63.75" customHeight="1">
      <c r="A153" s="23"/>
    </row>
    <row r="154" spans="1:1" ht="63.75" customHeight="1">
      <c r="A154" s="23"/>
    </row>
    <row r="155" spans="1:1" ht="63.75" customHeight="1">
      <c r="A155" s="23"/>
    </row>
    <row r="156" spans="1:1" ht="63.75" customHeight="1">
      <c r="A156" s="23"/>
    </row>
    <row r="157" spans="1:1" ht="63.75" customHeight="1">
      <c r="A157" s="23"/>
    </row>
    <row r="158" spans="1:1" ht="63.75" customHeight="1">
      <c r="A158" s="23"/>
    </row>
    <row r="159" spans="1:1" ht="63.75" customHeight="1">
      <c r="A159" s="23"/>
    </row>
    <row r="160" spans="1:1" ht="63.75" customHeight="1">
      <c r="A160" s="23"/>
    </row>
    <row r="161" spans="1:1" ht="63.75" customHeight="1">
      <c r="A161" s="23"/>
    </row>
    <row r="162" spans="1:1" ht="63.75" customHeight="1">
      <c r="A162" s="23"/>
    </row>
    <row r="163" spans="1:1" ht="63.75" customHeight="1">
      <c r="A163" s="23"/>
    </row>
    <row r="164" spans="1:1" ht="63.75" customHeight="1">
      <c r="A164" s="23"/>
    </row>
    <row r="165" spans="1:1" ht="63.75" customHeight="1">
      <c r="A165" s="23"/>
    </row>
    <row r="166" spans="1:1" ht="63.75" customHeight="1">
      <c r="A166" s="23"/>
    </row>
    <row r="167" spans="1:1" ht="63.75" customHeight="1">
      <c r="A167" s="23"/>
    </row>
    <row r="168" spans="1:1" ht="63.75" customHeight="1">
      <c r="A168" s="23"/>
    </row>
    <row r="169" spans="1:1" ht="63.75" customHeight="1">
      <c r="A169" s="23"/>
    </row>
    <row r="170" spans="1:1" ht="63.75" customHeight="1">
      <c r="A170" s="23"/>
    </row>
    <row r="171" spans="1:1" ht="63.75" customHeight="1">
      <c r="A171" s="23"/>
    </row>
    <row r="172" spans="1:1" ht="63.75" customHeight="1">
      <c r="A172" s="23"/>
    </row>
    <row r="173" spans="1:1" ht="63.75" customHeight="1">
      <c r="A173" s="23"/>
    </row>
    <row r="174" spans="1:1" ht="63.75" customHeight="1">
      <c r="A174" s="23"/>
    </row>
    <row r="175" spans="1:1" ht="63.75" customHeight="1">
      <c r="A175" s="23"/>
    </row>
    <row r="176" spans="1:1" ht="63.75" customHeight="1">
      <c r="A176" s="23"/>
    </row>
    <row r="177" spans="1:1" ht="63.75" customHeight="1">
      <c r="A177" s="23"/>
    </row>
    <row r="178" spans="1:1" ht="63.75" customHeight="1">
      <c r="A178" s="23"/>
    </row>
    <row r="179" spans="1:1" ht="63.75" customHeight="1">
      <c r="A179" s="23"/>
    </row>
    <row r="180" spans="1:1" ht="63.75" customHeight="1">
      <c r="A180" s="23"/>
    </row>
    <row r="181" spans="1:1" ht="63.75" customHeight="1">
      <c r="A181" s="23"/>
    </row>
    <row r="182" spans="1:1" ht="63.75" customHeight="1">
      <c r="A182" s="23"/>
    </row>
    <row r="183" spans="1:1" ht="63.75" customHeight="1">
      <c r="A183" s="23"/>
    </row>
    <row r="184" spans="1:1" ht="63.75" customHeight="1">
      <c r="A184" s="23"/>
    </row>
    <row r="185" spans="1:1" ht="63.75" customHeight="1">
      <c r="A185" s="23"/>
    </row>
    <row r="186" spans="1:1" ht="63.75" customHeight="1">
      <c r="A186" s="23"/>
    </row>
    <row r="187" spans="1:1" ht="63.75" customHeight="1">
      <c r="A187" s="23"/>
    </row>
    <row r="188" spans="1:1" ht="63.75" customHeight="1">
      <c r="A188" s="23"/>
    </row>
    <row r="189" spans="1:1" ht="63.75" customHeight="1">
      <c r="A189" s="23"/>
    </row>
    <row r="190" spans="1:1" ht="63.75" customHeight="1">
      <c r="A190" s="23"/>
    </row>
    <row r="191" spans="1:1" ht="63.75" customHeight="1">
      <c r="A191" s="23"/>
    </row>
    <row r="192" spans="1:1" ht="63.75" customHeight="1">
      <c r="A192" s="23"/>
    </row>
    <row r="193" spans="1:1" ht="63.75" customHeight="1">
      <c r="A193" s="23"/>
    </row>
    <row r="194" spans="1:1" ht="63.75" customHeight="1">
      <c r="A194" s="23"/>
    </row>
    <row r="195" spans="1:1" ht="63.75" customHeight="1">
      <c r="A195" s="23"/>
    </row>
    <row r="196" spans="1:1" ht="63.75" customHeight="1">
      <c r="A196" s="23"/>
    </row>
    <row r="197" spans="1:1" ht="63.75" customHeight="1">
      <c r="A197" s="23"/>
    </row>
    <row r="198" spans="1:1" ht="63.75" customHeight="1">
      <c r="A198" s="23"/>
    </row>
    <row r="199" spans="1:1" ht="63.75" customHeight="1">
      <c r="A199" s="23"/>
    </row>
    <row r="200" spans="1:1" ht="63.75" customHeight="1">
      <c r="A200" s="23"/>
    </row>
    <row r="201" spans="1:1" ht="63.75" customHeight="1">
      <c r="A201" s="23"/>
    </row>
    <row r="202" spans="1:1" ht="63.75" customHeight="1">
      <c r="A202" s="23"/>
    </row>
    <row r="203" spans="1:1" ht="63.75" customHeight="1">
      <c r="A203" s="23"/>
    </row>
    <row r="204" spans="1:1" ht="63.75" customHeight="1">
      <c r="A204" s="23"/>
    </row>
    <row r="205" spans="1:1" ht="63.75" customHeight="1">
      <c r="A205" s="23"/>
    </row>
    <row r="206" spans="1:1" ht="63.75" customHeight="1">
      <c r="A206" s="23"/>
    </row>
    <row r="207" spans="1:1" ht="63.75" customHeight="1">
      <c r="A207" s="23"/>
    </row>
    <row r="208" spans="1:1" ht="63.75" customHeight="1">
      <c r="A208" s="23"/>
    </row>
    <row r="209" spans="1:1" ht="63.75" customHeight="1">
      <c r="A209" s="23"/>
    </row>
    <row r="210" spans="1:1" ht="63.75" customHeight="1">
      <c r="A210" s="23"/>
    </row>
    <row r="211" spans="1:1" ht="63.75" customHeight="1">
      <c r="A211" s="23"/>
    </row>
    <row r="212" spans="1:1" ht="63.75" customHeight="1">
      <c r="A212" s="23"/>
    </row>
    <row r="213" spans="1:1" ht="63.75" customHeight="1">
      <c r="A213" s="23"/>
    </row>
    <row r="214" spans="1:1" ht="63.75" customHeight="1">
      <c r="A214" s="23"/>
    </row>
    <row r="215" spans="1:1" ht="63.75" customHeight="1">
      <c r="A215" s="23"/>
    </row>
    <row r="216" spans="1:1" ht="63.75" customHeight="1">
      <c r="A216" s="23"/>
    </row>
    <row r="217" spans="1:1" ht="63.75" customHeight="1">
      <c r="A217" s="23"/>
    </row>
    <row r="218" spans="1:1" ht="63.75" customHeight="1">
      <c r="A218" s="23"/>
    </row>
    <row r="219" spans="1:1" ht="63.75" customHeight="1">
      <c r="A219" s="23"/>
    </row>
    <row r="220" spans="1:1" ht="63.75" customHeight="1">
      <c r="A220" s="23"/>
    </row>
    <row r="221" spans="1:1" ht="63.75" customHeight="1">
      <c r="A221" s="23"/>
    </row>
    <row r="222" spans="1:1" ht="63.75" customHeight="1">
      <c r="A222" s="23"/>
    </row>
    <row r="223" spans="1:1" ht="63.75" customHeight="1">
      <c r="A223" s="23"/>
    </row>
    <row r="224" spans="1:1" ht="63.75" customHeight="1">
      <c r="A224" s="23"/>
    </row>
    <row r="225" spans="1:1" ht="63.75" customHeight="1">
      <c r="A225" s="23"/>
    </row>
    <row r="226" spans="1:1" ht="63.75" customHeight="1">
      <c r="A226" s="23"/>
    </row>
    <row r="227" spans="1:1" ht="63.75" customHeight="1">
      <c r="A227" s="23"/>
    </row>
    <row r="228" spans="1:1" ht="63.75" customHeight="1">
      <c r="A228" s="23"/>
    </row>
    <row r="229" spans="1:1" ht="63.75" customHeight="1">
      <c r="A229" s="23"/>
    </row>
    <row r="230" spans="1:1" ht="63.75" customHeight="1">
      <c r="A230" s="23"/>
    </row>
    <row r="231" spans="1:1" ht="63.75" customHeight="1">
      <c r="A231" s="23"/>
    </row>
    <row r="232" spans="1:1" ht="63.75" customHeight="1">
      <c r="A232" s="23"/>
    </row>
    <row r="233" spans="1:1" ht="63.75" customHeight="1">
      <c r="A233" s="23"/>
    </row>
    <row r="234" spans="1:1" ht="63.75" customHeight="1">
      <c r="A234" s="23"/>
    </row>
    <row r="235" spans="1:1" ht="63.75" customHeight="1">
      <c r="A235" s="23"/>
    </row>
    <row r="236" spans="1:1" ht="63.75" customHeight="1">
      <c r="A236" s="23"/>
    </row>
    <row r="237" spans="1:1" ht="63.75" customHeight="1">
      <c r="A237" s="23"/>
    </row>
    <row r="238" spans="1:1" ht="63.75" customHeight="1">
      <c r="A238" s="23"/>
    </row>
    <row r="239" spans="1:1" ht="63.75" customHeight="1">
      <c r="A239" s="23"/>
    </row>
    <row r="240" spans="1:1" ht="63.75" customHeight="1">
      <c r="A240" s="23"/>
    </row>
    <row r="241" spans="1:1" ht="63.75" customHeight="1">
      <c r="A241" s="23"/>
    </row>
    <row r="242" spans="1:1" ht="63.75" customHeight="1">
      <c r="A242" s="23"/>
    </row>
    <row r="243" spans="1:1" ht="63.75" customHeight="1">
      <c r="A243" s="23"/>
    </row>
    <row r="244" spans="1:1" ht="63.75" customHeight="1">
      <c r="A244" s="23"/>
    </row>
    <row r="245" spans="1:1" ht="63.75" customHeight="1">
      <c r="A245" s="23"/>
    </row>
    <row r="246" spans="1:1" ht="63.75" customHeight="1">
      <c r="A246" s="23"/>
    </row>
    <row r="247" spans="1:1" ht="63.75" customHeight="1">
      <c r="A247" s="23"/>
    </row>
    <row r="248" spans="1:1" ht="63.75" customHeight="1">
      <c r="A248" s="23"/>
    </row>
    <row r="249" spans="1:1" ht="63.75" customHeight="1">
      <c r="A249" s="23"/>
    </row>
    <row r="250" spans="1:1" ht="63.75" customHeight="1">
      <c r="A250" s="23"/>
    </row>
    <row r="251" spans="1:1" ht="63.75" customHeight="1">
      <c r="A251" s="23"/>
    </row>
    <row r="252" spans="1:1" ht="63.75" customHeight="1">
      <c r="A252" s="23"/>
    </row>
    <row r="253" spans="1:1" ht="63.75" customHeight="1">
      <c r="A253" s="23"/>
    </row>
    <row r="254" spans="1:1" ht="63.75" customHeight="1">
      <c r="A254" s="23"/>
    </row>
    <row r="255" spans="1:1" ht="63.75" customHeight="1">
      <c r="A255" s="23"/>
    </row>
    <row r="256" spans="1:1" ht="63.75" customHeight="1">
      <c r="A256" s="23"/>
    </row>
    <row r="257" spans="1:1" ht="63.75" customHeight="1">
      <c r="A257" s="23"/>
    </row>
    <row r="258" spans="1:1" ht="63.75" customHeight="1">
      <c r="A258" s="23"/>
    </row>
    <row r="259" spans="1:1" ht="63.75" customHeight="1">
      <c r="A259" s="23"/>
    </row>
    <row r="260" spans="1:1" ht="63.75" customHeight="1">
      <c r="A260" s="23"/>
    </row>
    <row r="261" spans="1:1" ht="63.75" customHeight="1">
      <c r="A261" s="23"/>
    </row>
    <row r="262" spans="1:1" ht="63.75" customHeight="1">
      <c r="A262" s="23"/>
    </row>
    <row r="263" spans="1:1" ht="63.75" customHeight="1">
      <c r="A263" s="23"/>
    </row>
    <row r="264" spans="1:1" ht="63.75" customHeight="1">
      <c r="A264" s="23"/>
    </row>
    <row r="265" spans="1:1" ht="63.75" customHeight="1">
      <c r="A265" s="23"/>
    </row>
    <row r="266" spans="1:1" ht="63.75" customHeight="1">
      <c r="A266" s="23"/>
    </row>
    <row r="267" spans="1:1" ht="63.75" customHeight="1">
      <c r="A267" s="23"/>
    </row>
    <row r="268" spans="1:1" ht="63.75" customHeight="1">
      <c r="A268" s="23"/>
    </row>
    <row r="269" spans="1:1" ht="63.75" customHeight="1">
      <c r="A269" s="23"/>
    </row>
    <row r="270" spans="1:1" ht="63.75" customHeight="1">
      <c r="A270" s="23"/>
    </row>
    <row r="271" spans="1:1" ht="63.75" customHeight="1">
      <c r="A271" s="23"/>
    </row>
    <row r="272" spans="1:1" ht="63.75" customHeight="1">
      <c r="A272" s="23"/>
    </row>
    <row r="273" spans="1:1" ht="63.75" customHeight="1">
      <c r="A273" s="23"/>
    </row>
    <row r="274" spans="1:1" ht="63.75" customHeight="1">
      <c r="A274" s="23"/>
    </row>
    <row r="275" spans="1:1" ht="63.75" customHeight="1">
      <c r="A275" s="23"/>
    </row>
    <row r="276" spans="1:1" ht="63.75" customHeight="1">
      <c r="A276" s="23"/>
    </row>
    <row r="277" spans="1:1" ht="63.75" customHeight="1">
      <c r="A277" s="23"/>
    </row>
    <row r="278" spans="1:1" ht="63.75" customHeight="1">
      <c r="A278" s="23"/>
    </row>
    <row r="279" spans="1:1" ht="63.75" customHeight="1">
      <c r="A279" s="23"/>
    </row>
    <row r="280" spans="1:1" ht="63.75" customHeight="1">
      <c r="A280" s="23"/>
    </row>
    <row r="281" spans="1:1" ht="63.75" customHeight="1">
      <c r="A281" s="23"/>
    </row>
    <row r="282" spans="1:1" ht="63.75" customHeight="1">
      <c r="A282" s="23"/>
    </row>
    <row r="283" spans="1:1" ht="63.75" customHeight="1">
      <c r="A283" s="23"/>
    </row>
    <row r="284" spans="1:1" ht="63.75" customHeight="1">
      <c r="A284" s="23"/>
    </row>
    <row r="285" spans="1:1" ht="63.75" customHeight="1">
      <c r="A285" s="23"/>
    </row>
    <row r="286" spans="1:1" ht="63.75" customHeight="1">
      <c r="A286" s="23"/>
    </row>
    <row r="287" spans="1:1" ht="63.75" customHeight="1">
      <c r="A287" s="23"/>
    </row>
    <row r="288" spans="1:1" ht="63.75" customHeight="1">
      <c r="A288" s="23"/>
    </row>
    <row r="289" spans="1:1" ht="63.75" customHeight="1">
      <c r="A289" s="23"/>
    </row>
    <row r="290" spans="1:1" ht="63.75" customHeight="1">
      <c r="A290" s="23"/>
    </row>
    <row r="291" spans="1:1" ht="63.75" customHeight="1">
      <c r="A291" s="23"/>
    </row>
    <row r="292" spans="1:1" ht="63.75" customHeight="1">
      <c r="A292" s="23"/>
    </row>
    <row r="293" spans="1:1" ht="63.75" customHeight="1">
      <c r="A293" s="23"/>
    </row>
    <row r="294" spans="1:1" ht="63.75" customHeight="1">
      <c r="A294" s="23"/>
    </row>
    <row r="295" spans="1:1" ht="63.75" customHeight="1">
      <c r="A295" s="23"/>
    </row>
    <row r="296" spans="1:1" ht="63.75" customHeight="1">
      <c r="A296" s="23"/>
    </row>
    <row r="297" spans="1:1" ht="63.75" customHeight="1">
      <c r="A297" s="23"/>
    </row>
    <row r="298" spans="1:1" ht="63.75" customHeight="1">
      <c r="A298" s="23"/>
    </row>
    <row r="299" spans="1:1" ht="63.75" customHeight="1">
      <c r="A299" s="23"/>
    </row>
    <row r="300" spans="1:1" ht="63.75" customHeight="1">
      <c r="A300" s="23"/>
    </row>
    <row r="301" spans="1:1" ht="63.75" customHeight="1">
      <c r="A301" s="23"/>
    </row>
    <row r="302" spans="1:1" ht="63.75" customHeight="1">
      <c r="A302" s="23"/>
    </row>
    <row r="303" spans="1:1" ht="63.75" customHeight="1">
      <c r="A303" s="23"/>
    </row>
    <row r="304" spans="1:1" ht="63.75" customHeight="1">
      <c r="A304" s="23"/>
    </row>
    <row r="305" spans="1:1" ht="63.75" customHeight="1">
      <c r="A305" s="23"/>
    </row>
    <row r="306" spans="1:1" ht="63.75" customHeight="1">
      <c r="A306" s="23"/>
    </row>
    <row r="307" spans="1:1" ht="63.75" customHeight="1">
      <c r="A307" s="23"/>
    </row>
    <row r="308" spans="1:1" ht="63.75" customHeight="1">
      <c r="A308" s="23"/>
    </row>
    <row r="309" spans="1:1" ht="63.75" customHeight="1">
      <c r="A309" s="23"/>
    </row>
    <row r="310" spans="1:1" ht="63.75" customHeight="1">
      <c r="A310" s="23"/>
    </row>
    <row r="311" spans="1:1" ht="63.75" customHeight="1">
      <c r="A311" s="23"/>
    </row>
    <row r="312" spans="1:1" ht="63.75" customHeight="1">
      <c r="A312" s="23"/>
    </row>
    <row r="313" spans="1:1" ht="63.75" customHeight="1">
      <c r="A313" s="23"/>
    </row>
    <row r="314" spans="1:1" ht="63.75" customHeight="1">
      <c r="A314" s="23"/>
    </row>
    <row r="315" spans="1:1" ht="63.75" customHeight="1">
      <c r="A315" s="23"/>
    </row>
    <row r="316" spans="1:1" ht="63.75" customHeight="1">
      <c r="A316" s="23"/>
    </row>
    <row r="317" spans="1:1" ht="63.75" customHeight="1">
      <c r="A317" s="23"/>
    </row>
    <row r="318" spans="1:1" ht="63.75" customHeight="1">
      <c r="A318" s="23"/>
    </row>
    <row r="319" spans="1:1" ht="63.75" customHeight="1">
      <c r="A319" s="23"/>
    </row>
    <row r="320" spans="1:1" ht="63.75" customHeight="1">
      <c r="A320" s="23"/>
    </row>
    <row r="321" spans="1:1" ht="63.75" customHeight="1">
      <c r="A321" s="23"/>
    </row>
    <row r="322" spans="1:1" ht="63.75" customHeight="1">
      <c r="A322" s="23"/>
    </row>
    <row r="323" spans="1:1" ht="63.75" customHeight="1">
      <c r="A323" s="23"/>
    </row>
    <row r="324" spans="1:1" ht="63.75" customHeight="1">
      <c r="A324" s="23"/>
    </row>
    <row r="325" spans="1:1" ht="63.75" customHeight="1">
      <c r="A325" s="23"/>
    </row>
    <row r="326" spans="1:1" ht="63.75" customHeight="1">
      <c r="A326" s="23"/>
    </row>
    <row r="327" spans="1:1" ht="63.75" customHeight="1">
      <c r="A327" s="23"/>
    </row>
    <row r="328" spans="1:1" ht="63.75" customHeight="1">
      <c r="A328" s="23"/>
    </row>
    <row r="329" spans="1:1" ht="63.75" customHeight="1">
      <c r="A329" s="23"/>
    </row>
    <row r="330" spans="1:1" ht="63.75" customHeight="1">
      <c r="A330" s="23"/>
    </row>
    <row r="331" spans="1:1" ht="63.75" customHeight="1">
      <c r="A331" s="23"/>
    </row>
    <row r="332" spans="1:1" ht="63.75" customHeight="1">
      <c r="A332" s="23"/>
    </row>
    <row r="333" spans="1:1" ht="63.75" customHeight="1">
      <c r="A333" s="23"/>
    </row>
    <row r="334" spans="1:1" ht="63.75" customHeight="1">
      <c r="A334" s="23"/>
    </row>
    <row r="335" spans="1:1" ht="63.75" customHeight="1">
      <c r="A335" s="23"/>
    </row>
    <row r="336" spans="1:1" ht="63.75" customHeight="1">
      <c r="A336" s="23"/>
    </row>
    <row r="337" spans="1:1" ht="63.75" customHeight="1">
      <c r="A337" s="23"/>
    </row>
    <row r="338" spans="1:1" ht="63.75" customHeight="1">
      <c r="A338" s="23"/>
    </row>
    <row r="339" spans="1:1" ht="63.75" customHeight="1">
      <c r="A339" s="23"/>
    </row>
    <row r="340" spans="1:1" ht="63.75" customHeight="1">
      <c r="A340" s="23"/>
    </row>
    <row r="341" spans="1:1" ht="63.75" customHeight="1">
      <c r="A341" s="23"/>
    </row>
    <row r="342" spans="1:1" ht="63.75" customHeight="1">
      <c r="A342" s="23"/>
    </row>
    <row r="343" spans="1:1" ht="63.75" customHeight="1">
      <c r="A343" s="23"/>
    </row>
    <row r="344" spans="1:1" ht="63.75" customHeight="1">
      <c r="A344" s="23"/>
    </row>
    <row r="345" spans="1:1" ht="63.75" customHeight="1">
      <c r="A345" s="23"/>
    </row>
    <row r="346" spans="1:1" ht="63.75" customHeight="1">
      <c r="A346" s="23"/>
    </row>
    <row r="347" spans="1:1" ht="63.75" customHeight="1">
      <c r="A347" s="23"/>
    </row>
    <row r="348" spans="1:1" ht="63.75" customHeight="1">
      <c r="A348" s="23"/>
    </row>
    <row r="349" spans="1:1" ht="63.75" customHeight="1">
      <c r="A349" s="23"/>
    </row>
    <row r="350" spans="1:1" ht="63.75" customHeight="1">
      <c r="A350" s="23"/>
    </row>
    <row r="351" spans="1:1" ht="63.75" customHeight="1">
      <c r="A351" s="23"/>
    </row>
    <row r="352" spans="1:1" ht="63.75" customHeight="1">
      <c r="A352" s="23"/>
    </row>
    <row r="353" spans="1:1" ht="63.75" customHeight="1">
      <c r="A353" s="23"/>
    </row>
    <row r="354" spans="1:1" ht="63.75" customHeight="1">
      <c r="A354" s="23"/>
    </row>
    <row r="355" spans="1:1" ht="63.75" customHeight="1">
      <c r="A355" s="23"/>
    </row>
    <row r="356" spans="1:1" ht="63.75" customHeight="1">
      <c r="A356" s="23"/>
    </row>
    <row r="357" spans="1:1" ht="63.75" customHeight="1">
      <c r="A357" s="23"/>
    </row>
    <row r="358" spans="1:1" ht="63.75" customHeight="1">
      <c r="A358" s="23"/>
    </row>
    <row r="359" spans="1:1" ht="63.75" customHeight="1">
      <c r="A359" s="23"/>
    </row>
    <row r="360" spans="1:1" ht="63.75" customHeight="1">
      <c r="A360" s="23"/>
    </row>
    <row r="361" spans="1:1" ht="63.75" customHeight="1">
      <c r="A361" s="23"/>
    </row>
    <row r="362" spans="1:1" ht="63.75" customHeight="1">
      <c r="A362" s="23"/>
    </row>
    <row r="363" spans="1:1" ht="63.75" customHeight="1">
      <c r="A363" s="23"/>
    </row>
    <row r="364" spans="1:1" ht="63.75" customHeight="1">
      <c r="A364" s="23"/>
    </row>
    <row r="365" spans="1:1" ht="63.75" customHeight="1">
      <c r="A365" s="23"/>
    </row>
    <row r="366" spans="1:1" ht="63.75" customHeight="1">
      <c r="A366" s="23"/>
    </row>
    <row r="367" spans="1:1" ht="63.75" customHeight="1">
      <c r="A367" s="23"/>
    </row>
    <row r="368" spans="1:1" ht="63.75" customHeight="1">
      <c r="A368" s="23"/>
    </row>
    <row r="369" spans="1:1" ht="63.75" customHeight="1">
      <c r="A369" s="23"/>
    </row>
    <row r="370" spans="1:1" ht="63.75" customHeight="1">
      <c r="A370" s="23"/>
    </row>
    <row r="371" spans="1:1" ht="63.75" customHeight="1">
      <c r="A371" s="23"/>
    </row>
    <row r="372" spans="1:1" ht="63.75" customHeight="1">
      <c r="A372" s="23"/>
    </row>
    <row r="373" spans="1:1" ht="63.75" customHeight="1">
      <c r="A373" s="23"/>
    </row>
    <row r="374" spans="1:1" ht="63.75" customHeight="1">
      <c r="A374" s="23"/>
    </row>
    <row r="375" spans="1:1" ht="63.75" customHeight="1">
      <c r="A375" s="23"/>
    </row>
    <row r="376" spans="1:1" ht="63.75" customHeight="1">
      <c r="A376" s="23"/>
    </row>
    <row r="377" spans="1:1" ht="63.75" customHeight="1">
      <c r="A377" s="23"/>
    </row>
    <row r="378" spans="1:1" ht="63.75" customHeight="1">
      <c r="A378" s="23"/>
    </row>
    <row r="379" spans="1:1" ht="63.75" customHeight="1">
      <c r="A379" s="23"/>
    </row>
    <row r="380" spans="1:1" ht="63.75" customHeight="1">
      <c r="A380" s="23"/>
    </row>
    <row r="381" spans="1:1" ht="63.75" customHeight="1">
      <c r="A381" s="23"/>
    </row>
    <row r="382" spans="1:1" ht="63.75" customHeight="1">
      <c r="A382" s="23"/>
    </row>
    <row r="383" spans="1:1" ht="63.75" customHeight="1">
      <c r="A383" s="23"/>
    </row>
    <row r="384" spans="1:1" ht="63.75" customHeight="1">
      <c r="A384" s="23"/>
    </row>
    <row r="385" spans="1:1" ht="63.75" customHeight="1">
      <c r="A385" s="23"/>
    </row>
    <row r="386" spans="1:1" ht="63.75" customHeight="1">
      <c r="A386" s="23"/>
    </row>
    <row r="387" spans="1:1" ht="63.75" customHeight="1">
      <c r="A387" s="23"/>
    </row>
    <row r="388" spans="1:1" ht="63.75" customHeight="1">
      <c r="A388" s="23"/>
    </row>
    <row r="389" spans="1:1" ht="63.75" customHeight="1">
      <c r="A389" s="23"/>
    </row>
    <row r="390" spans="1:1" ht="63.75" customHeight="1">
      <c r="A390" s="23"/>
    </row>
    <row r="391" spans="1:1" ht="63.75" customHeight="1">
      <c r="A391" s="23"/>
    </row>
    <row r="392" spans="1:1" ht="63.75" customHeight="1">
      <c r="A392" s="23"/>
    </row>
    <row r="393" spans="1:1" ht="63.75" customHeight="1">
      <c r="A393" s="23"/>
    </row>
    <row r="394" spans="1:1" ht="63.75" customHeight="1">
      <c r="A394" s="23"/>
    </row>
    <row r="395" spans="1:1" ht="63.75" customHeight="1">
      <c r="A395" s="23"/>
    </row>
    <row r="396" spans="1:1" ht="63.75" customHeight="1">
      <c r="A396" s="23"/>
    </row>
    <row r="397" spans="1:1" ht="63.75" customHeight="1">
      <c r="A397" s="23"/>
    </row>
    <row r="398" spans="1:1" ht="63.75" customHeight="1">
      <c r="A398" s="23"/>
    </row>
    <row r="399" spans="1:1" ht="63.75" customHeight="1">
      <c r="A399" s="23"/>
    </row>
    <row r="400" spans="1:1" ht="63.75" customHeight="1">
      <c r="A400" s="23"/>
    </row>
    <row r="401" spans="1:1" ht="63.75" customHeight="1">
      <c r="A401" s="23"/>
    </row>
    <row r="402" spans="1:1" ht="63.75" customHeight="1">
      <c r="A402" s="23"/>
    </row>
    <row r="403" spans="1:1" ht="63.75" customHeight="1">
      <c r="A403" s="23"/>
    </row>
    <row r="404" spans="1:1" ht="63.75" customHeight="1">
      <c r="A404" s="23"/>
    </row>
    <row r="405" spans="1:1" ht="63.75" customHeight="1">
      <c r="A405" s="23"/>
    </row>
    <row r="406" spans="1:1" ht="63.75" customHeight="1">
      <c r="A406" s="23"/>
    </row>
    <row r="407" spans="1:1" ht="63.75" customHeight="1">
      <c r="A407" s="23"/>
    </row>
    <row r="408" spans="1:1" ht="63.75" customHeight="1">
      <c r="A408" s="23"/>
    </row>
    <row r="409" spans="1:1" ht="63.75" customHeight="1">
      <c r="A409" s="23"/>
    </row>
    <row r="410" spans="1:1" ht="63.75" customHeight="1">
      <c r="A410" s="23"/>
    </row>
    <row r="411" spans="1:1" ht="63.75" customHeight="1">
      <c r="A411" s="23"/>
    </row>
    <row r="412" spans="1:1" ht="63.75" customHeight="1">
      <c r="A412" s="23"/>
    </row>
    <row r="413" spans="1:1" ht="63.75" customHeight="1">
      <c r="A413" s="23"/>
    </row>
    <row r="414" spans="1:1" ht="63.75" customHeight="1">
      <c r="A414" s="23"/>
    </row>
    <row r="415" spans="1:1" ht="63.75" customHeight="1">
      <c r="A415" s="23"/>
    </row>
    <row r="416" spans="1:1" ht="63.75" customHeight="1">
      <c r="A416" s="23"/>
    </row>
    <row r="417" spans="1:1" ht="63.75" customHeight="1">
      <c r="A417" s="23"/>
    </row>
    <row r="418" spans="1:1" ht="63.75" customHeight="1">
      <c r="A418" s="23"/>
    </row>
    <row r="419" spans="1:1" ht="63.75" customHeight="1">
      <c r="A419" s="23"/>
    </row>
    <row r="420" spans="1:1" ht="63.75" customHeight="1">
      <c r="A420" s="23"/>
    </row>
    <row r="421" spans="1:1" ht="63.75" customHeight="1">
      <c r="A421" s="23"/>
    </row>
    <row r="422" spans="1:1" ht="63.75" customHeight="1">
      <c r="A422" s="23"/>
    </row>
    <row r="423" spans="1:1" ht="63.75" customHeight="1">
      <c r="A423" s="23"/>
    </row>
    <row r="424" spans="1:1" ht="63.75" customHeight="1">
      <c r="A424" s="23"/>
    </row>
    <row r="425" spans="1:1" ht="63.75" customHeight="1">
      <c r="A425" s="23"/>
    </row>
    <row r="426" spans="1:1" ht="63.75" customHeight="1">
      <c r="A426" s="23"/>
    </row>
    <row r="427" spans="1:1" ht="63.75" customHeight="1">
      <c r="A427" s="23"/>
    </row>
    <row r="428" spans="1:1" ht="63.75" customHeight="1">
      <c r="A428" s="23"/>
    </row>
    <row r="429" spans="1:1" ht="63.75" customHeight="1">
      <c r="A429" s="23"/>
    </row>
    <row r="430" spans="1:1" ht="63.75" customHeight="1">
      <c r="A430" s="23"/>
    </row>
    <row r="431" spans="1:1" ht="63.75" customHeight="1">
      <c r="A431" s="23"/>
    </row>
    <row r="432" spans="1:1" ht="63.75" customHeight="1">
      <c r="A432" s="23"/>
    </row>
    <row r="433" spans="1:1" ht="63.75" customHeight="1">
      <c r="A433" s="23"/>
    </row>
    <row r="434" spans="1:1" ht="63.75" customHeight="1">
      <c r="A434" s="23"/>
    </row>
    <row r="435" spans="1:1" ht="63.75" customHeight="1">
      <c r="A435" s="23"/>
    </row>
    <row r="436" spans="1:1" ht="63.75" customHeight="1">
      <c r="A436" s="23"/>
    </row>
    <row r="437" spans="1:1" ht="63.75" customHeight="1">
      <c r="A437" s="23"/>
    </row>
    <row r="438" spans="1:1" ht="63.75" customHeight="1">
      <c r="A438" s="23"/>
    </row>
    <row r="439" spans="1:1" ht="63.75" customHeight="1">
      <c r="A439" s="23"/>
    </row>
    <row r="440" spans="1:1" ht="63.75" customHeight="1">
      <c r="A440" s="23"/>
    </row>
    <row r="441" spans="1:1" ht="63.75" customHeight="1">
      <c r="A441" s="23"/>
    </row>
    <row r="442" spans="1:1" ht="63.75" customHeight="1">
      <c r="A442" s="23"/>
    </row>
    <row r="443" spans="1:1" ht="63.75" customHeight="1">
      <c r="A443" s="23"/>
    </row>
    <row r="444" spans="1:1" ht="63.75" customHeight="1">
      <c r="A444" s="23"/>
    </row>
    <row r="445" spans="1:1" ht="63.75" customHeight="1">
      <c r="A445" s="23"/>
    </row>
    <row r="446" spans="1:1" ht="63.75" customHeight="1">
      <c r="A446" s="23"/>
    </row>
    <row r="447" spans="1:1" ht="63.75" customHeight="1">
      <c r="A447" s="23"/>
    </row>
    <row r="448" spans="1:1" ht="63.75" customHeight="1">
      <c r="A448" s="23"/>
    </row>
    <row r="449" spans="1:1" ht="63.75" customHeight="1">
      <c r="A449" s="23"/>
    </row>
    <row r="450" spans="1:1" ht="63.75" customHeight="1">
      <c r="A450" s="23"/>
    </row>
    <row r="451" spans="1:1" ht="63.75" customHeight="1">
      <c r="A451" s="23"/>
    </row>
    <row r="452" spans="1:1" ht="63.75" customHeight="1">
      <c r="A452" s="23"/>
    </row>
    <row r="453" spans="1:1" ht="63.75" customHeight="1">
      <c r="A453" s="23"/>
    </row>
    <row r="454" spans="1:1" ht="63.75" customHeight="1">
      <c r="A454" s="23"/>
    </row>
    <row r="455" spans="1:1" ht="63.75" customHeight="1">
      <c r="A455" s="23"/>
    </row>
    <row r="456" spans="1:1" ht="63.75" customHeight="1">
      <c r="A456" s="23"/>
    </row>
    <row r="457" spans="1:1" ht="63.75" customHeight="1">
      <c r="A457" s="23"/>
    </row>
    <row r="458" spans="1:1" ht="63.75" customHeight="1">
      <c r="A458" s="23"/>
    </row>
    <row r="459" spans="1:1" ht="63.75" customHeight="1">
      <c r="A459" s="23"/>
    </row>
    <row r="460" spans="1:1" ht="63.75" customHeight="1">
      <c r="A460" s="23"/>
    </row>
    <row r="461" spans="1:1" ht="63.75" customHeight="1">
      <c r="A461" s="23"/>
    </row>
    <row r="462" spans="1:1" ht="63.75" customHeight="1">
      <c r="A462" s="23"/>
    </row>
    <row r="463" spans="1:1" ht="63.75" customHeight="1">
      <c r="A463" s="23"/>
    </row>
    <row r="464" spans="1:1" ht="63.75" customHeight="1">
      <c r="A464" s="23"/>
    </row>
    <row r="465" spans="1:1" ht="63.75" customHeight="1">
      <c r="A465" s="23"/>
    </row>
    <row r="466" spans="1:1" ht="63.75" customHeight="1">
      <c r="A466" s="23"/>
    </row>
    <row r="467" spans="1:1" ht="63.75" customHeight="1">
      <c r="A467" s="23"/>
    </row>
    <row r="468" spans="1:1" ht="63.75" customHeight="1">
      <c r="A468" s="23"/>
    </row>
    <row r="469" spans="1:1" ht="63.75" customHeight="1">
      <c r="A469" s="23"/>
    </row>
    <row r="470" spans="1:1" ht="63.75" customHeight="1">
      <c r="A470" s="23"/>
    </row>
    <row r="471" spans="1:1" ht="63.75" customHeight="1">
      <c r="A471" s="23"/>
    </row>
    <row r="472" spans="1:1" ht="63.75" customHeight="1">
      <c r="A472" s="23"/>
    </row>
    <row r="473" spans="1:1" ht="63.75" customHeight="1">
      <c r="A473" s="23"/>
    </row>
    <row r="474" spans="1:1" ht="63.75" customHeight="1">
      <c r="A474" s="23"/>
    </row>
    <row r="475" spans="1:1" ht="63.75" customHeight="1">
      <c r="A475" s="23"/>
    </row>
    <row r="476" spans="1:1" ht="63.75" customHeight="1">
      <c r="A476" s="23"/>
    </row>
    <row r="477" spans="1:1" ht="63.75" customHeight="1">
      <c r="A477" s="23"/>
    </row>
    <row r="478" spans="1:1" ht="63.75" customHeight="1">
      <c r="A478" s="23"/>
    </row>
    <row r="479" spans="1:1" ht="63.75" customHeight="1">
      <c r="A479" s="23"/>
    </row>
    <row r="480" spans="1:1" ht="63.75" customHeight="1">
      <c r="A480" s="23"/>
    </row>
    <row r="481" spans="1:1" ht="63.75" customHeight="1">
      <c r="A481" s="23"/>
    </row>
    <row r="482" spans="1:1" ht="63.75" customHeight="1">
      <c r="A482" s="23"/>
    </row>
    <row r="483" spans="1:1" ht="63.75" customHeight="1">
      <c r="A483" s="23"/>
    </row>
    <row r="484" spans="1:1" ht="63.75" customHeight="1">
      <c r="A484" s="23"/>
    </row>
    <row r="485" spans="1:1" ht="63.75" customHeight="1">
      <c r="A485" s="23"/>
    </row>
    <row r="486" spans="1:1" ht="63.75" customHeight="1">
      <c r="A486" s="23"/>
    </row>
    <row r="487" spans="1:1" ht="63.75" customHeight="1">
      <c r="A487" s="23"/>
    </row>
    <row r="488" spans="1:1" ht="63.75" customHeight="1">
      <c r="A488" s="23"/>
    </row>
    <row r="489" spans="1:1" ht="63.75" customHeight="1">
      <c r="A489" s="23"/>
    </row>
    <row r="490" spans="1:1" ht="63.75" customHeight="1">
      <c r="A490" s="23"/>
    </row>
    <row r="491" spans="1:1" ht="63.75" customHeight="1">
      <c r="A491" s="23"/>
    </row>
    <row r="492" spans="1:1" ht="63.75" customHeight="1">
      <c r="A492" s="23"/>
    </row>
    <row r="493" spans="1:1" ht="63.75" customHeight="1">
      <c r="A493" s="23"/>
    </row>
    <row r="494" spans="1:1" ht="63.75" customHeight="1">
      <c r="A494" s="23"/>
    </row>
    <row r="495" spans="1:1" ht="63.75" customHeight="1">
      <c r="A495" s="23"/>
    </row>
    <row r="496" spans="1:1" ht="63.75" customHeight="1">
      <c r="A496" s="23"/>
    </row>
    <row r="497" spans="1:1" ht="63.75" customHeight="1">
      <c r="A497" s="23"/>
    </row>
    <row r="498" spans="1:1" ht="63.75" customHeight="1">
      <c r="A498" s="23"/>
    </row>
    <row r="499" spans="1:1" ht="63.75" customHeight="1">
      <c r="A499" s="23"/>
    </row>
    <row r="500" spans="1:1" ht="63.75" customHeight="1">
      <c r="A500" s="23"/>
    </row>
    <row r="501" spans="1:1" ht="63.75" customHeight="1">
      <c r="A501" s="23"/>
    </row>
    <row r="502" spans="1:1" ht="63.75" customHeight="1">
      <c r="A502" s="23"/>
    </row>
    <row r="503" spans="1:1" ht="63.75" customHeight="1">
      <c r="A503" s="23"/>
    </row>
    <row r="504" spans="1:1" ht="63.75" customHeight="1">
      <c r="A504" s="23"/>
    </row>
    <row r="505" spans="1:1" ht="63.75" customHeight="1">
      <c r="A505" s="23"/>
    </row>
    <row r="506" spans="1:1" ht="63.75" customHeight="1">
      <c r="A506" s="23"/>
    </row>
    <row r="507" spans="1:1" ht="63.75" customHeight="1">
      <c r="A507" s="23"/>
    </row>
    <row r="508" spans="1:1" ht="63.75" customHeight="1">
      <c r="A508" s="23"/>
    </row>
    <row r="509" spans="1:1" ht="63.75" customHeight="1">
      <c r="A509" s="23"/>
    </row>
    <row r="510" spans="1:1" ht="63.75" customHeight="1">
      <c r="A510" s="23"/>
    </row>
    <row r="511" spans="1:1" ht="63.75" customHeight="1">
      <c r="A511" s="23"/>
    </row>
    <row r="512" spans="1:1" ht="63.75" customHeight="1">
      <c r="A512" s="23"/>
    </row>
    <row r="513" spans="1:1" ht="63.75" customHeight="1">
      <c r="A513" s="23"/>
    </row>
    <row r="514" spans="1:1" ht="63.75" customHeight="1">
      <c r="A514" s="23"/>
    </row>
    <row r="515" spans="1:1" ht="63.75" customHeight="1">
      <c r="A515" s="23"/>
    </row>
    <row r="516" spans="1:1" ht="63.75" customHeight="1">
      <c r="A516" s="23"/>
    </row>
    <row r="517" spans="1:1" ht="63.75" customHeight="1">
      <c r="A517" s="23"/>
    </row>
    <row r="518" spans="1:1" ht="63.75" customHeight="1">
      <c r="A518" s="23"/>
    </row>
    <row r="519" spans="1:1" ht="63.75" customHeight="1">
      <c r="A519" s="23"/>
    </row>
    <row r="520" spans="1:1" ht="63.75" customHeight="1">
      <c r="A520" s="23"/>
    </row>
    <row r="521" spans="1:1" ht="63.75" customHeight="1">
      <c r="A521" s="23"/>
    </row>
    <row r="522" spans="1:1" ht="63.75" customHeight="1">
      <c r="A522" s="23"/>
    </row>
    <row r="523" spans="1:1" ht="63.75" customHeight="1">
      <c r="A523" s="23"/>
    </row>
    <row r="524" spans="1:1" ht="63.75" customHeight="1">
      <c r="A524" s="23"/>
    </row>
    <row r="525" spans="1:1" ht="63.75" customHeight="1">
      <c r="A525" s="23"/>
    </row>
    <row r="526" spans="1:1" ht="63.75" customHeight="1">
      <c r="A526" s="23"/>
    </row>
    <row r="527" spans="1:1" ht="63.75" customHeight="1">
      <c r="A527" s="23"/>
    </row>
    <row r="528" spans="1:1" ht="63.75" customHeight="1">
      <c r="A528" s="23"/>
    </row>
    <row r="529" spans="1:1" ht="63.75" customHeight="1">
      <c r="A529" s="23"/>
    </row>
    <row r="530" spans="1:1" ht="63.75" customHeight="1">
      <c r="A530" s="23"/>
    </row>
    <row r="531" spans="1:1" ht="63.75" customHeight="1">
      <c r="A531" s="23"/>
    </row>
    <row r="532" spans="1:1" ht="63.75" customHeight="1">
      <c r="A532" s="23"/>
    </row>
    <row r="533" spans="1:1" ht="63.75" customHeight="1">
      <c r="A533" s="23"/>
    </row>
    <row r="534" spans="1:1" ht="63.75" customHeight="1">
      <c r="A534" s="23"/>
    </row>
    <row r="535" spans="1:1" ht="63.75" customHeight="1">
      <c r="A535" s="23"/>
    </row>
    <row r="536" spans="1:1" ht="63.75" customHeight="1">
      <c r="A536" s="23"/>
    </row>
    <row r="537" spans="1:1" ht="63.75" customHeight="1">
      <c r="A537" s="23"/>
    </row>
    <row r="538" spans="1:1" ht="63.75" customHeight="1">
      <c r="A538" s="23"/>
    </row>
    <row r="539" spans="1:1" ht="63.75" customHeight="1">
      <c r="A539" s="23"/>
    </row>
    <row r="540" spans="1:1" ht="63.75" customHeight="1">
      <c r="A540" s="23"/>
    </row>
    <row r="541" spans="1:1" ht="63.75" customHeight="1">
      <c r="A541" s="23"/>
    </row>
    <row r="542" spans="1:1" ht="63.75" customHeight="1">
      <c r="A542" s="23"/>
    </row>
    <row r="543" spans="1:1" ht="63.75" customHeight="1">
      <c r="A543" s="23"/>
    </row>
    <row r="544" spans="1:1" ht="63.75" customHeight="1">
      <c r="A544" s="23"/>
    </row>
    <row r="545" spans="1:1" ht="63.75" customHeight="1">
      <c r="A545" s="23"/>
    </row>
    <row r="546" spans="1:1" ht="63.75" customHeight="1">
      <c r="A546" s="23"/>
    </row>
    <row r="547" spans="1:1" ht="63.75" customHeight="1">
      <c r="A547" s="23"/>
    </row>
    <row r="548" spans="1:1" ht="63.75" customHeight="1">
      <c r="A548" s="23"/>
    </row>
    <row r="549" spans="1:1" ht="63.75" customHeight="1">
      <c r="A549" s="23"/>
    </row>
    <row r="550" spans="1:1" ht="63.75" customHeight="1">
      <c r="A550" s="23"/>
    </row>
    <row r="551" spans="1:1" ht="63.75" customHeight="1">
      <c r="A551" s="23"/>
    </row>
    <row r="552" spans="1:1" ht="63.75" customHeight="1">
      <c r="A552" s="23"/>
    </row>
    <row r="553" spans="1:1" ht="63.75" customHeight="1">
      <c r="A553" s="23"/>
    </row>
    <row r="554" spans="1:1" ht="63.75" customHeight="1">
      <c r="A554" s="23"/>
    </row>
    <row r="555" spans="1:1" ht="63.75" customHeight="1">
      <c r="A555" s="23"/>
    </row>
    <row r="556" spans="1:1" ht="63.75" customHeight="1">
      <c r="A556" s="23"/>
    </row>
    <row r="557" spans="1:1" ht="63.75" customHeight="1">
      <c r="A557" s="23"/>
    </row>
    <row r="558" spans="1:1" ht="63.75" customHeight="1">
      <c r="A558" s="23"/>
    </row>
    <row r="559" spans="1:1" ht="63.75" customHeight="1">
      <c r="A559" s="23"/>
    </row>
    <row r="560" spans="1:1" ht="63.75" customHeight="1">
      <c r="A560" s="23"/>
    </row>
    <row r="561" spans="1:1" ht="63.75" customHeight="1">
      <c r="A561" s="23"/>
    </row>
    <row r="562" spans="1:1" ht="63.75" customHeight="1">
      <c r="A562" s="23"/>
    </row>
    <row r="563" spans="1:1" ht="63.75" customHeight="1">
      <c r="A563" s="23"/>
    </row>
    <row r="564" spans="1:1" ht="63.75" customHeight="1">
      <c r="A564" s="23"/>
    </row>
    <row r="565" spans="1:1" ht="63.75" customHeight="1">
      <c r="A565" s="23"/>
    </row>
    <row r="566" spans="1:1" ht="63.75" customHeight="1">
      <c r="A566" s="23"/>
    </row>
    <row r="567" spans="1:1" ht="63.75" customHeight="1">
      <c r="A567" s="23"/>
    </row>
    <row r="568" spans="1:1" ht="63.75" customHeight="1">
      <c r="A568" s="23"/>
    </row>
    <row r="569" spans="1:1" ht="63.75" customHeight="1">
      <c r="A569" s="23"/>
    </row>
    <row r="570" spans="1:1" ht="63.75" customHeight="1">
      <c r="A570" s="23"/>
    </row>
    <row r="571" spans="1:1" ht="63.75" customHeight="1">
      <c r="A571" s="23"/>
    </row>
    <row r="572" spans="1:1" ht="63.75" customHeight="1">
      <c r="A572" s="23"/>
    </row>
    <row r="573" spans="1:1" ht="63.75" customHeight="1">
      <c r="A573" s="23"/>
    </row>
    <row r="574" spans="1:1" ht="63.75" customHeight="1">
      <c r="A574" s="23"/>
    </row>
    <row r="575" spans="1:1" ht="63.75" customHeight="1">
      <c r="A575" s="23"/>
    </row>
    <row r="576" spans="1:1" ht="63.75" customHeight="1">
      <c r="A576" s="23"/>
    </row>
    <row r="577" spans="1:1" ht="63.75" customHeight="1">
      <c r="A577" s="23"/>
    </row>
    <row r="578" spans="1:1" ht="63.75" customHeight="1">
      <c r="A578" s="23"/>
    </row>
    <row r="579" spans="1:1" ht="63.75" customHeight="1">
      <c r="A579" s="23"/>
    </row>
    <row r="580" spans="1:1" ht="63.75" customHeight="1">
      <c r="A580" s="23"/>
    </row>
    <row r="581" spans="1:1" ht="63.75" customHeight="1">
      <c r="A581" s="23"/>
    </row>
    <row r="582" spans="1:1" ht="63.75" customHeight="1">
      <c r="A582" s="23"/>
    </row>
    <row r="583" spans="1:1" ht="63.75" customHeight="1">
      <c r="A583" s="23"/>
    </row>
    <row r="584" spans="1:1" ht="63.75" customHeight="1">
      <c r="A584" s="23"/>
    </row>
    <row r="585" spans="1:1" ht="63.75" customHeight="1">
      <c r="A585" s="23"/>
    </row>
    <row r="586" spans="1:1" ht="63.75" customHeight="1">
      <c r="A586" s="23"/>
    </row>
    <row r="587" spans="1:1" ht="63.75" customHeight="1">
      <c r="A587" s="23"/>
    </row>
    <row r="588" spans="1:1" ht="63.75" customHeight="1">
      <c r="A588" s="23"/>
    </row>
    <row r="589" spans="1:1" ht="63.75" customHeight="1">
      <c r="A589" s="23"/>
    </row>
    <row r="590" spans="1:1" ht="63.75" customHeight="1">
      <c r="A590" s="23"/>
    </row>
    <row r="591" spans="1:1" ht="63.75" customHeight="1">
      <c r="A591" s="23"/>
    </row>
    <row r="592" spans="1:1" ht="63.75" customHeight="1">
      <c r="A592" s="23"/>
    </row>
    <row r="593" spans="1:1" ht="63.75" customHeight="1">
      <c r="A593" s="23"/>
    </row>
    <row r="594" spans="1:1" ht="63.75" customHeight="1">
      <c r="A594" s="23"/>
    </row>
    <row r="595" spans="1:1" ht="63.75" customHeight="1">
      <c r="A595" s="23"/>
    </row>
    <row r="596" spans="1:1" ht="63.75" customHeight="1">
      <c r="A596" s="23"/>
    </row>
    <row r="597" spans="1:1" ht="63.75" customHeight="1">
      <c r="A597" s="23"/>
    </row>
    <row r="598" spans="1:1" ht="63.75" customHeight="1">
      <c r="A598" s="23"/>
    </row>
    <row r="599" spans="1:1" ht="63.75" customHeight="1">
      <c r="A599" s="23"/>
    </row>
    <row r="600" spans="1:1" ht="63.75" customHeight="1">
      <c r="A600" s="23"/>
    </row>
    <row r="601" spans="1:1" ht="63.75" customHeight="1">
      <c r="A601" s="23"/>
    </row>
    <row r="602" spans="1:1" ht="63.75" customHeight="1">
      <c r="A602" s="23"/>
    </row>
    <row r="603" spans="1:1" ht="63.75" customHeight="1">
      <c r="A603" s="23"/>
    </row>
    <row r="604" spans="1:1" ht="63.75" customHeight="1">
      <c r="A604" s="23"/>
    </row>
    <row r="605" spans="1:1" ht="63.75" customHeight="1">
      <c r="A605" s="23"/>
    </row>
    <row r="606" spans="1:1" ht="63.75" customHeight="1">
      <c r="A606" s="23"/>
    </row>
    <row r="607" spans="1:1" ht="63.75" customHeight="1">
      <c r="A607" s="23"/>
    </row>
    <row r="608" spans="1:1" ht="63.75" customHeight="1">
      <c r="A608" s="23"/>
    </row>
    <row r="609" spans="1:1" ht="63.75" customHeight="1">
      <c r="A609" s="23"/>
    </row>
    <row r="610" spans="1:1" ht="63.75" customHeight="1">
      <c r="A610" s="23"/>
    </row>
    <row r="611" spans="1:1" ht="63.75" customHeight="1">
      <c r="A611" s="23"/>
    </row>
    <row r="612" spans="1:1" ht="63.75" customHeight="1">
      <c r="A612" s="23"/>
    </row>
    <row r="613" spans="1:1" ht="63.75" customHeight="1">
      <c r="A613" s="23"/>
    </row>
    <row r="614" spans="1:1" ht="63.75" customHeight="1">
      <c r="A614" s="23"/>
    </row>
    <row r="615" spans="1:1" ht="63.75" customHeight="1">
      <c r="A615" s="23"/>
    </row>
    <row r="616" spans="1:1" ht="63.75" customHeight="1">
      <c r="A616" s="23"/>
    </row>
    <row r="617" spans="1:1" ht="63.75" customHeight="1">
      <c r="A617" s="23"/>
    </row>
    <row r="618" spans="1:1" ht="63.75" customHeight="1">
      <c r="A618" s="23"/>
    </row>
    <row r="619" spans="1:1" ht="63.75" customHeight="1">
      <c r="A619" s="23"/>
    </row>
    <row r="620" spans="1:1" ht="63.75" customHeight="1">
      <c r="A620" s="23"/>
    </row>
    <row r="621" spans="1:1" ht="63.75" customHeight="1">
      <c r="A621" s="23"/>
    </row>
    <row r="622" spans="1:1" ht="63.75" customHeight="1">
      <c r="A622" s="23"/>
    </row>
    <row r="623" spans="1:1" ht="63.75" customHeight="1">
      <c r="A623" s="23"/>
    </row>
    <row r="624" spans="1:1" ht="63.75" customHeight="1">
      <c r="A624" s="23"/>
    </row>
    <row r="625" spans="1:1" ht="63.75" customHeight="1">
      <c r="A625" s="23"/>
    </row>
    <row r="626" spans="1:1" ht="63.75" customHeight="1">
      <c r="A626" s="23"/>
    </row>
    <row r="627" spans="1:1" ht="63.75" customHeight="1">
      <c r="A627" s="23"/>
    </row>
    <row r="628" spans="1:1" ht="63.75" customHeight="1">
      <c r="A628" s="23"/>
    </row>
    <row r="629" spans="1:1" ht="63.75" customHeight="1">
      <c r="A629" s="23"/>
    </row>
    <row r="630" spans="1:1" ht="63.75" customHeight="1">
      <c r="A630" s="23"/>
    </row>
    <row r="631" spans="1:1" ht="63.75" customHeight="1">
      <c r="A631" s="23"/>
    </row>
    <row r="632" spans="1:1" ht="63.75" customHeight="1">
      <c r="A632" s="23"/>
    </row>
    <row r="633" spans="1:1" ht="63.75" customHeight="1">
      <c r="A633" s="23"/>
    </row>
    <row r="634" spans="1:1" ht="63.75" customHeight="1">
      <c r="A634" s="23"/>
    </row>
    <row r="635" spans="1:1" ht="63.75" customHeight="1">
      <c r="A635" s="23"/>
    </row>
    <row r="636" spans="1:1" ht="63.75" customHeight="1">
      <c r="A636" s="23"/>
    </row>
    <row r="637" spans="1:1" ht="63.75" customHeight="1">
      <c r="A637" s="23"/>
    </row>
    <row r="638" spans="1:1" ht="63.75" customHeight="1">
      <c r="A638" s="23"/>
    </row>
    <row r="639" spans="1:1" ht="63.75" customHeight="1">
      <c r="A639" s="23"/>
    </row>
    <row r="640" spans="1:1" ht="63.75" customHeight="1">
      <c r="A640" s="23"/>
    </row>
    <row r="641" spans="1:1" ht="63.75" customHeight="1">
      <c r="A641" s="23"/>
    </row>
    <row r="642" spans="1:1" ht="63.75" customHeight="1">
      <c r="A642" s="23"/>
    </row>
    <row r="643" spans="1:1" ht="63.75" customHeight="1">
      <c r="A643" s="23"/>
    </row>
    <row r="644" spans="1:1" ht="63.75" customHeight="1">
      <c r="A644" s="23"/>
    </row>
    <row r="645" spans="1:1" ht="63.75" customHeight="1">
      <c r="A645" s="23"/>
    </row>
    <row r="646" spans="1:1" ht="63.75" customHeight="1">
      <c r="A646" s="23"/>
    </row>
    <row r="647" spans="1:1" ht="63.75" customHeight="1">
      <c r="A647" s="23"/>
    </row>
    <row r="648" spans="1:1" ht="63.75" customHeight="1">
      <c r="A648" s="23"/>
    </row>
    <row r="649" spans="1:1" ht="63.75" customHeight="1">
      <c r="A649" s="23"/>
    </row>
    <row r="650" spans="1:1" ht="63.75" customHeight="1">
      <c r="A650" s="23"/>
    </row>
    <row r="651" spans="1:1" ht="63.75" customHeight="1">
      <c r="A651" s="23"/>
    </row>
    <row r="652" spans="1:1" ht="63.75" customHeight="1">
      <c r="A652" s="23"/>
    </row>
    <row r="653" spans="1:1" ht="63.75" customHeight="1">
      <c r="A653" s="23"/>
    </row>
    <row r="654" spans="1:1" ht="63.75" customHeight="1">
      <c r="A654" s="23"/>
    </row>
    <row r="655" spans="1:1" ht="63.75" customHeight="1">
      <c r="A655" s="23"/>
    </row>
    <row r="656" spans="1:1" ht="63.75" customHeight="1">
      <c r="A656" s="23"/>
    </row>
    <row r="657" spans="1:1" ht="63.75" customHeight="1">
      <c r="A657" s="23"/>
    </row>
    <row r="658" spans="1:1" ht="63.75" customHeight="1">
      <c r="A658" s="23"/>
    </row>
    <row r="659" spans="1:1" ht="63.75" customHeight="1">
      <c r="A659" s="23"/>
    </row>
    <row r="660" spans="1:1" ht="63.75" customHeight="1">
      <c r="A660" s="23"/>
    </row>
    <row r="661" spans="1:1" ht="63.75" customHeight="1">
      <c r="A661" s="23"/>
    </row>
    <row r="662" spans="1:1" ht="63.75" customHeight="1">
      <c r="A662" s="23"/>
    </row>
    <row r="663" spans="1:1" ht="63.75" customHeight="1">
      <c r="A663" s="23"/>
    </row>
    <row r="664" spans="1:1" ht="63.75" customHeight="1">
      <c r="A664" s="23"/>
    </row>
    <row r="665" spans="1:1" ht="63.75" customHeight="1">
      <c r="A665" s="23"/>
    </row>
    <row r="666" spans="1:1" ht="63.75" customHeight="1">
      <c r="A666" s="23"/>
    </row>
    <row r="667" spans="1:1" ht="63.75" customHeight="1">
      <c r="A667" s="23"/>
    </row>
    <row r="668" spans="1:1" ht="63.75" customHeight="1">
      <c r="A668" s="23"/>
    </row>
    <row r="669" spans="1:1" ht="63.75" customHeight="1">
      <c r="A669" s="23"/>
    </row>
    <row r="670" spans="1:1" ht="63.75" customHeight="1">
      <c r="A670" s="23"/>
    </row>
    <row r="671" spans="1:1" ht="63.75" customHeight="1">
      <c r="A671" s="23"/>
    </row>
    <row r="672" spans="1:1" ht="63.75" customHeight="1">
      <c r="A672" s="23"/>
    </row>
    <row r="673" spans="1:1" ht="63.75" customHeight="1">
      <c r="A673" s="23"/>
    </row>
    <row r="674" spans="1:1" ht="63.75" customHeight="1">
      <c r="A674" s="23"/>
    </row>
    <row r="675" spans="1:1" ht="63.75" customHeight="1">
      <c r="A675" s="23"/>
    </row>
    <row r="676" spans="1:1" ht="63.75" customHeight="1">
      <c r="A676" s="23"/>
    </row>
    <row r="677" spans="1:1" ht="63.75" customHeight="1">
      <c r="A677" s="23"/>
    </row>
    <row r="678" spans="1:1" ht="63.75" customHeight="1">
      <c r="A678" s="23"/>
    </row>
    <row r="679" spans="1:1" ht="63.75" customHeight="1">
      <c r="A679" s="23"/>
    </row>
    <row r="680" spans="1:1" ht="63.75" customHeight="1">
      <c r="A680" s="23"/>
    </row>
    <row r="681" spans="1:1" ht="63.75" customHeight="1">
      <c r="A681" s="23"/>
    </row>
    <row r="682" spans="1:1" ht="63.75" customHeight="1">
      <c r="A682" s="23"/>
    </row>
    <row r="683" spans="1:1" ht="63.75" customHeight="1">
      <c r="A683" s="23"/>
    </row>
    <row r="684" spans="1:1" ht="63.75" customHeight="1">
      <c r="A684" s="23"/>
    </row>
    <row r="685" spans="1:1" ht="63.75" customHeight="1">
      <c r="A685" s="23"/>
    </row>
    <row r="686" spans="1:1" ht="63.75" customHeight="1">
      <c r="A686" s="23"/>
    </row>
    <row r="687" spans="1:1" ht="63.75" customHeight="1">
      <c r="A687" s="23"/>
    </row>
    <row r="688" spans="1:1" ht="63.75" customHeight="1">
      <c r="A688" s="23"/>
    </row>
    <row r="689" spans="1:1" ht="63.75" customHeight="1">
      <c r="A689" s="23"/>
    </row>
    <row r="690" spans="1:1" ht="63.75" customHeight="1">
      <c r="A690" s="23"/>
    </row>
    <row r="691" spans="1:1" ht="63.75" customHeight="1">
      <c r="A691" s="23"/>
    </row>
    <row r="692" spans="1:1" ht="63.75" customHeight="1">
      <c r="A692" s="23"/>
    </row>
    <row r="693" spans="1:1" ht="63.75" customHeight="1">
      <c r="A693" s="23"/>
    </row>
    <row r="694" spans="1:1" ht="63.75" customHeight="1">
      <c r="A694" s="23"/>
    </row>
    <row r="695" spans="1:1" ht="63.75" customHeight="1">
      <c r="A695" s="23"/>
    </row>
    <row r="696" spans="1:1" ht="63.75" customHeight="1">
      <c r="A696" s="23"/>
    </row>
    <row r="697" spans="1:1" ht="63.75" customHeight="1">
      <c r="A697" s="23"/>
    </row>
    <row r="698" spans="1:1" ht="63.75" customHeight="1">
      <c r="A698" s="23"/>
    </row>
    <row r="699" spans="1:1" ht="63.75" customHeight="1">
      <c r="A699" s="23"/>
    </row>
    <row r="700" spans="1:1" ht="63.75" customHeight="1">
      <c r="A700" s="23"/>
    </row>
    <row r="701" spans="1:1" ht="63.75" customHeight="1">
      <c r="A701" s="23"/>
    </row>
    <row r="702" spans="1:1" ht="63.75" customHeight="1">
      <c r="A702" s="23"/>
    </row>
    <row r="703" spans="1:1" ht="63.75" customHeight="1">
      <c r="A703" s="23"/>
    </row>
    <row r="704" spans="1:1" ht="63.75" customHeight="1">
      <c r="A704" s="23"/>
    </row>
    <row r="705" spans="1:1" ht="63.75" customHeight="1">
      <c r="A705" s="23"/>
    </row>
    <row r="706" spans="1:1" ht="63.75" customHeight="1">
      <c r="A706" s="23"/>
    </row>
    <row r="707" spans="1:1" ht="63.75" customHeight="1">
      <c r="A707" s="23"/>
    </row>
    <row r="708" spans="1:1" ht="63.75" customHeight="1">
      <c r="A708" s="23"/>
    </row>
    <row r="709" spans="1:1" ht="63.75" customHeight="1">
      <c r="A709" s="23"/>
    </row>
    <row r="710" spans="1:1" ht="63.75" customHeight="1">
      <c r="A710" s="23"/>
    </row>
    <row r="711" spans="1:1" ht="63.75" customHeight="1">
      <c r="A711" s="23"/>
    </row>
    <row r="712" spans="1:1" ht="63.75" customHeight="1">
      <c r="A712" s="23"/>
    </row>
    <row r="713" spans="1:1" ht="63.75" customHeight="1">
      <c r="A713" s="23"/>
    </row>
    <row r="714" spans="1:1" ht="63.75" customHeight="1">
      <c r="A714" s="23"/>
    </row>
    <row r="715" spans="1:1" ht="63.75" customHeight="1">
      <c r="A715" s="23"/>
    </row>
    <row r="716" spans="1:1" ht="63.75" customHeight="1">
      <c r="A716" s="23"/>
    </row>
    <row r="717" spans="1:1" ht="63.75" customHeight="1">
      <c r="A717" s="23"/>
    </row>
    <row r="718" spans="1:1" ht="63.75" customHeight="1">
      <c r="A718" s="23"/>
    </row>
    <row r="719" spans="1:1" ht="63.75" customHeight="1">
      <c r="A719" s="23"/>
    </row>
    <row r="720" spans="1:1" ht="63.75" customHeight="1">
      <c r="A720" s="23"/>
    </row>
    <row r="721" spans="1:1" ht="63.75" customHeight="1">
      <c r="A721" s="23"/>
    </row>
    <row r="722" spans="1:1" ht="63.75" customHeight="1">
      <c r="A722" s="23"/>
    </row>
    <row r="723" spans="1:1" ht="63.75" customHeight="1">
      <c r="A723" s="23"/>
    </row>
    <row r="724" spans="1:1" ht="63.75" customHeight="1">
      <c r="A724" s="23"/>
    </row>
    <row r="725" spans="1:1" ht="63.75" customHeight="1">
      <c r="A725" s="23"/>
    </row>
    <row r="726" spans="1:1" ht="63.75" customHeight="1">
      <c r="A726" s="23"/>
    </row>
    <row r="727" spans="1:1" ht="63.75" customHeight="1">
      <c r="A727" s="23"/>
    </row>
    <row r="728" spans="1:1" ht="63.75" customHeight="1">
      <c r="A728" s="23"/>
    </row>
    <row r="729" spans="1:1" ht="63.75" customHeight="1">
      <c r="A729" s="23"/>
    </row>
    <row r="730" spans="1:1" ht="63.75" customHeight="1">
      <c r="A730" s="23"/>
    </row>
    <row r="731" spans="1:1" ht="63.75" customHeight="1">
      <c r="A731" s="23"/>
    </row>
    <row r="732" spans="1:1" ht="63.75" customHeight="1">
      <c r="A732" s="23"/>
    </row>
    <row r="733" spans="1:1" ht="63.75" customHeight="1">
      <c r="A733" s="23"/>
    </row>
    <row r="734" spans="1:1" ht="63.75" customHeight="1">
      <c r="A734" s="23"/>
    </row>
    <row r="735" spans="1:1" ht="63.75" customHeight="1">
      <c r="A735" s="23"/>
    </row>
    <row r="736" spans="1:1" ht="63.75" customHeight="1">
      <c r="A736" s="23"/>
    </row>
    <row r="737" spans="1:1" ht="63.75" customHeight="1">
      <c r="A737" s="23"/>
    </row>
    <row r="738" spans="1:1" ht="63.75" customHeight="1">
      <c r="A738" s="23"/>
    </row>
    <row r="739" spans="1:1" ht="63.75" customHeight="1">
      <c r="A739" s="23"/>
    </row>
    <row r="740" spans="1:1" ht="63.75" customHeight="1">
      <c r="A740" s="23"/>
    </row>
    <row r="741" spans="1:1" ht="63.75" customHeight="1">
      <c r="A741" s="23"/>
    </row>
    <row r="742" spans="1:1" ht="63.75" customHeight="1">
      <c r="A742" s="23"/>
    </row>
    <row r="743" spans="1:1" ht="63.75" customHeight="1">
      <c r="A743" s="23"/>
    </row>
    <row r="744" spans="1:1" ht="63.75" customHeight="1">
      <c r="A744" s="23"/>
    </row>
    <row r="745" spans="1:1" ht="63.75" customHeight="1">
      <c r="A745" s="23"/>
    </row>
    <row r="746" spans="1:1" ht="63.75" customHeight="1">
      <c r="A746" s="23"/>
    </row>
    <row r="747" spans="1:1" ht="63.75" customHeight="1">
      <c r="A747" s="23"/>
    </row>
    <row r="748" spans="1:1" ht="63.75" customHeight="1">
      <c r="A748" s="23"/>
    </row>
    <row r="749" spans="1:1" ht="63.75" customHeight="1">
      <c r="A749" s="23"/>
    </row>
    <row r="750" spans="1:1" ht="63.75" customHeight="1">
      <c r="A750" s="23"/>
    </row>
    <row r="751" spans="1:1" ht="63.75" customHeight="1">
      <c r="A751" s="23"/>
    </row>
    <row r="752" spans="1:1" ht="63.75" customHeight="1">
      <c r="A752" s="23"/>
    </row>
    <row r="753" spans="1:1" ht="63.75" customHeight="1">
      <c r="A753" s="23"/>
    </row>
    <row r="754" spans="1:1" ht="63.75" customHeight="1">
      <c r="A754" s="23"/>
    </row>
    <row r="755" spans="1:1" ht="63.75" customHeight="1">
      <c r="A755" s="23"/>
    </row>
    <row r="756" spans="1:1" ht="63.75" customHeight="1">
      <c r="A756" s="23"/>
    </row>
    <row r="757" spans="1:1" ht="63.75" customHeight="1">
      <c r="A757" s="23"/>
    </row>
    <row r="758" spans="1:1" ht="63.75" customHeight="1">
      <c r="A758" s="23"/>
    </row>
    <row r="759" spans="1:1" ht="63.75" customHeight="1">
      <c r="A759" s="23"/>
    </row>
    <row r="760" spans="1:1" ht="63.75" customHeight="1">
      <c r="A760" s="23"/>
    </row>
    <row r="761" spans="1:1" ht="63.75" customHeight="1">
      <c r="A761" s="23"/>
    </row>
    <row r="762" spans="1:1" ht="63.75" customHeight="1">
      <c r="A762" s="23"/>
    </row>
    <row r="763" spans="1:1" ht="63.75" customHeight="1">
      <c r="A763" s="23"/>
    </row>
    <row r="764" spans="1:1" ht="63.75" customHeight="1">
      <c r="A764" s="23"/>
    </row>
    <row r="765" spans="1:1" ht="63.75" customHeight="1">
      <c r="A765" s="23"/>
    </row>
    <row r="766" spans="1:1" ht="63.75" customHeight="1">
      <c r="A766" s="23"/>
    </row>
    <row r="767" spans="1:1" ht="63.75" customHeight="1">
      <c r="A767" s="23"/>
    </row>
    <row r="768" spans="1:1" ht="63.75" customHeight="1">
      <c r="A768" s="23"/>
    </row>
    <row r="769" spans="1:1" ht="63.75" customHeight="1">
      <c r="A769" s="23"/>
    </row>
    <row r="770" spans="1:1" ht="63.75" customHeight="1">
      <c r="A770" s="23"/>
    </row>
    <row r="771" spans="1:1" ht="63.75" customHeight="1">
      <c r="A771" s="23"/>
    </row>
    <row r="772" spans="1:1" ht="63.75" customHeight="1">
      <c r="A772" s="23"/>
    </row>
    <row r="773" spans="1:1" ht="63.75" customHeight="1">
      <c r="A773" s="23"/>
    </row>
    <row r="774" spans="1:1" ht="63.75" customHeight="1">
      <c r="A774" s="23"/>
    </row>
    <row r="775" spans="1:1" ht="63.75" customHeight="1">
      <c r="A775" s="23"/>
    </row>
    <row r="776" spans="1:1" ht="63.75" customHeight="1">
      <c r="A776" s="23"/>
    </row>
    <row r="777" spans="1:1" ht="63.75" customHeight="1">
      <c r="A777" s="23"/>
    </row>
    <row r="778" spans="1:1" ht="63.75" customHeight="1">
      <c r="A778" s="23"/>
    </row>
    <row r="779" spans="1:1" ht="63.75" customHeight="1">
      <c r="A779" s="23"/>
    </row>
    <row r="780" spans="1:1" ht="63.75" customHeight="1">
      <c r="A780" s="23"/>
    </row>
    <row r="781" spans="1:1" ht="63.75" customHeight="1">
      <c r="A781" s="23"/>
    </row>
    <row r="782" spans="1:1" ht="63.75" customHeight="1">
      <c r="A782" s="23"/>
    </row>
    <row r="783" spans="1:1" ht="63.75" customHeight="1">
      <c r="A783" s="23"/>
    </row>
    <row r="784" spans="1:1" ht="63.75" customHeight="1">
      <c r="A784" s="23"/>
    </row>
    <row r="785" spans="1:1" ht="63.75" customHeight="1">
      <c r="A785" s="23"/>
    </row>
    <row r="786" spans="1:1" ht="63.75" customHeight="1">
      <c r="A786" s="23"/>
    </row>
    <row r="787" spans="1:1" ht="63.75" customHeight="1">
      <c r="A787" s="23"/>
    </row>
    <row r="788" spans="1:1" ht="63.75" customHeight="1">
      <c r="A788" s="23"/>
    </row>
    <row r="789" spans="1:1" ht="63.75" customHeight="1">
      <c r="A789" s="23"/>
    </row>
    <row r="790" spans="1:1" ht="63.75" customHeight="1">
      <c r="A790" s="23"/>
    </row>
    <row r="791" spans="1:1" ht="63.75" customHeight="1">
      <c r="A791" s="23"/>
    </row>
    <row r="792" spans="1:1" ht="63.75" customHeight="1">
      <c r="A792" s="23"/>
    </row>
    <row r="793" spans="1:1" ht="63.75" customHeight="1">
      <c r="A793" s="23"/>
    </row>
    <row r="794" spans="1:1" ht="63.75" customHeight="1">
      <c r="A794" s="23"/>
    </row>
    <row r="795" spans="1:1" ht="63.75" customHeight="1">
      <c r="A795" s="23"/>
    </row>
    <row r="796" spans="1:1" ht="63.75" customHeight="1">
      <c r="A796" s="23"/>
    </row>
    <row r="797" spans="1:1" ht="63.75" customHeight="1">
      <c r="A797" s="23"/>
    </row>
    <row r="798" spans="1:1" ht="63.75" customHeight="1">
      <c r="A798" s="23"/>
    </row>
    <row r="799" spans="1:1" ht="63.75" customHeight="1">
      <c r="A799" s="23"/>
    </row>
    <row r="800" spans="1:1" ht="63.75" customHeight="1">
      <c r="A800" s="23"/>
    </row>
    <row r="801" spans="1:1" ht="63.75" customHeight="1">
      <c r="A801" s="23"/>
    </row>
    <row r="802" spans="1:1" ht="63.75" customHeight="1">
      <c r="A802" s="23"/>
    </row>
    <row r="803" spans="1:1" ht="63.75" customHeight="1">
      <c r="A803" s="23"/>
    </row>
    <row r="804" spans="1:1" ht="63.75" customHeight="1">
      <c r="A804" s="23"/>
    </row>
    <row r="805" spans="1:1" ht="63.75" customHeight="1">
      <c r="A805" s="23"/>
    </row>
    <row r="806" spans="1:1" ht="63.75" customHeight="1">
      <c r="A806" s="23"/>
    </row>
    <row r="807" spans="1:1" ht="63.75" customHeight="1">
      <c r="A807" s="23"/>
    </row>
    <row r="808" spans="1:1" ht="63.75" customHeight="1">
      <c r="A808" s="23"/>
    </row>
    <row r="809" spans="1:1" ht="63.75" customHeight="1">
      <c r="A809" s="23"/>
    </row>
    <row r="810" spans="1:1" ht="63.75" customHeight="1">
      <c r="A810" s="23"/>
    </row>
    <row r="811" spans="1:1" ht="63.75" customHeight="1">
      <c r="A811" s="23"/>
    </row>
    <row r="812" spans="1:1" ht="63.75" customHeight="1">
      <c r="A812" s="23"/>
    </row>
    <row r="813" spans="1:1" ht="63.75" customHeight="1">
      <c r="A813" s="23"/>
    </row>
    <row r="814" spans="1:1" ht="63.75" customHeight="1">
      <c r="A814" s="23"/>
    </row>
    <row r="815" spans="1:1" ht="63.75" customHeight="1">
      <c r="A815" s="23"/>
    </row>
    <row r="816" spans="1:1" ht="63.75" customHeight="1">
      <c r="A816" s="23"/>
    </row>
    <row r="817" spans="1:1" ht="63.75" customHeight="1">
      <c r="A817" s="23"/>
    </row>
    <row r="818" spans="1:1" ht="63.75" customHeight="1">
      <c r="A818" s="23"/>
    </row>
    <row r="819" spans="1:1" ht="63.75" customHeight="1">
      <c r="A819" s="23"/>
    </row>
    <row r="820" spans="1:1" ht="63.75" customHeight="1">
      <c r="A820" s="23"/>
    </row>
    <row r="821" spans="1:1" ht="63.75" customHeight="1">
      <c r="A821" s="23"/>
    </row>
    <row r="822" spans="1:1" ht="63.75" customHeight="1">
      <c r="A822" s="23"/>
    </row>
    <row r="823" spans="1:1" ht="63.75" customHeight="1">
      <c r="A823" s="23"/>
    </row>
    <row r="824" spans="1:1" ht="63.75" customHeight="1">
      <c r="A824" s="23"/>
    </row>
    <row r="825" spans="1:1" ht="63.75" customHeight="1">
      <c r="A825" s="23"/>
    </row>
    <row r="826" spans="1:1" ht="63.75" customHeight="1">
      <c r="A826" s="23"/>
    </row>
    <row r="827" spans="1:1" ht="63.75" customHeight="1">
      <c r="A827" s="23"/>
    </row>
    <row r="828" spans="1:1" ht="63.75" customHeight="1">
      <c r="A828" s="23"/>
    </row>
    <row r="829" spans="1:1" ht="63.75" customHeight="1">
      <c r="A829" s="23"/>
    </row>
    <row r="830" spans="1:1" ht="63.75" customHeight="1">
      <c r="A830" s="23"/>
    </row>
    <row r="831" spans="1:1" ht="63.75" customHeight="1">
      <c r="A831" s="23"/>
    </row>
    <row r="832" spans="1:1" ht="63.75" customHeight="1">
      <c r="A832" s="23"/>
    </row>
    <row r="833" spans="1:1" ht="63.75" customHeight="1">
      <c r="A833" s="23"/>
    </row>
    <row r="834" spans="1:1" ht="63.75" customHeight="1">
      <c r="A834" s="23"/>
    </row>
    <row r="835" spans="1:1" ht="63.75" customHeight="1">
      <c r="A835" s="23"/>
    </row>
    <row r="836" spans="1:1" ht="63.75" customHeight="1">
      <c r="A836" s="23"/>
    </row>
    <row r="837" spans="1:1" ht="63.75" customHeight="1">
      <c r="A837" s="23"/>
    </row>
    <row r="838" spans="1:1" ht="63.75" customHeight="1">
      <c r="A838" s="23"/>
    </row>
    <row r="839" spans="1:1" ht="63.75" customHeight="1">
      <c r="A839" s="23"/>
    </row>
    <row r="840" spans="1:1" ht="63.75" customHeight="1">
      <c r="A840" s="23"/>
    </row>
    <row r="841" spans="1:1" ht="63.75" customHeight="1">
      <c r="A841" s="23"/>
    </row>
    <row r="842" spans="1:1" ht="63.75" customHeight="1">
      <c r="A842" s="23"/>
    </row>
    <row r="843" spans="1:1" ht="63.75" customHeight="1">
      <c r="A843" s="23"/>
    </row>
    <row r="844" spans="1:1" ht="63.75" customHeight="1">
      <c r="A844" s="23"/>
    </row>
    <row r="845" spans="1:1" ht="63.75" customHeight="1">
      <c r="A845" s="23"/>
    </row>
    <row r="846" spans="1:1" ht="63.75" customHeight="1">
      <c r="A846" s="23"/>
    </row>
    <row r="847" spans="1:1" ht="63.75" customHeight="1">
      <c r="A847" s="23"/>
    </row>
    <row r="848" spans="1:1" ht="63.75" customHeight="1">
      <c r="A848" s="23"/>
    </row>
    <row r="849" spans="1:1" ht="63.75" customHeight="1">
      <c r="A849" s="23"/>
    </row>
    <row r="850" spans="1:1" ht="63.75" customHeight="1">
      <c r="A850" s="23"/>
    </row>
    <row r="851" spans="1:1" ht="63.75" customHeight="1">
      <c r="A851" s="23"/>
    </row>
    <row r="852" spans="1:1" ht="63.75" customHeight="1">
      <c r="A852" s="23"/>
    </row>
    <row r="853" spans="1:1" ht="63.75" customHeight="1">
      <c r="A853" s="23"/>
    </row>
    <row r="854" spans="1:1" ht="63.75" customHeight="1">
      <c r="A854" s="23"/>
    </row>
    <row r="855" spans="1:1" ht="63.75" customHeight="1">
      <c r="A855" s="23"/>
    </row>
    <row r="856" spans="1:1" ht="63.75" customHeight="1">
      <c r="A856" s="23"/>
    </row>
    <row r="857" spans="1:1" ht="63.75" customHeight="1">
      <c r="A857" s="23"/>
    </row>
    <row r="858" spans="1:1" ht="63.75" customHeight="1">
      <c r="A858" s="23"/>
    </row>
    <row r="859" spans="1:1" ht="63.75" customHeight="1">
      <c r="A859" s="23"/>
    </row>
    <row r="860" spans="1:1" ht="63.75" customHeight="1">
      <c r="A860" s="23"/>
    </row>
    <row r="861" spans="1:1" ht="63.75" customHeight="1">
      <c r="A861" s="23"/>
    </row>
    <row r="862" spans="1:1" ht="63.75" customHeight="1">
      <c r="A862" s="23"/>
    </row>
    <row r="863" spans="1:1" ht="63.75" customHeight="1">
      <c r="A863" s="23"/>
    </row>
    <row r="864" spans="1:1" ht="63.75" customHeight="1">
      <c r="A864" s="23"/>
    </row>
    <row r="865" spans="1:1" ht="63.75" customHeight="1">
      <c r="A865" s="23"/>
    </row>
    <row r="866" spans="1:1" ht="63.75" customHeight="1">
      <c r="A866" s="23"/>
    </row>
    <row r="867" spans="1:1" ht="63.75" customHeight="1">
      <c r="A867" s="23"/>
    </row>
    <row r="868" spans="1:1" ht="63.75" customHeight="1">
      <c r="A868" s="23"/>
    </row>
    <row r="869" spans="1:1" ht="63.75" customHeight="1">
      <c r="A869" s="23"/>
    </row>
    <row r="870" spans="1:1" ht="63.75" customHeight="1">
      <c r="A870" s="23"/>
    </row>
    <row r="871" spans="1:1" ht="63.75" customHeight="1">
      <c r="A871" s="23"/>
    </row>
    <row r="872" spans="1:1" ht="63.75" customHeight="1">
      <c r="A872" s="23"/>
    </row>
    <row r="873" spans="1:1" ht="63.75" customHeight="1">
      <c r="A873" s="23"/>
    </row>
    <row r="874" spans="1:1" ht="63.75" customHeight="1">
      <c r="A874" s="23"/>
    </row>
    <row r="875" spans="1:1" ht="63.75" customHeight="1">
      <c r="A875" s="23"/>
    </row>
    <row r="876" spans="1:1" ht="63.75" customHeight="1">
      <c r="A876" s="23"/>
    </row>
    <row r="877" spans="1:1" ht="63.75" customHeight="1">
      <c r="A877" s="23"/>
    </row>
    <row r="878" spans="1:1" ht="63.75" customHeight="1">
      <c r="A878" s="23"/>
    </row>
    <row r="879" spans="1:1" ht="63.75" customHeight="1">
      <c r="A879" s="23"/>
    </row>
    <row r="880" spans="1:1" ht="63.75" customHeight="1">
      <c r="A880" s="23"/>
    </row>
    <row r="881" spans="1:1" ht="63.75" customHeight="1">
      <c r="A881" s="23"/>
    </row>
    <row r="882" spans="1:1" ht="63.75" customHeight="1">
      <c r="A882" s="23"/>
    </row>
    <row r="883" spans="1:1" ht="63.75" customHeight="1">
      <c r="A883" s="23"/>
    </row>
    <row r="884" spans="1:1" ht="63.75" customHeight="1">
      <c r="A884" s="23"/>
    </row>
    <row r="885" spans="1:1" ht="63.75" customHeight="1">
      <c r="A885" s="23"/>
    </row>
    <row r="886" spans="1:1" ht="63.75" customHeight="1">
      <c r="A886" s="23"/>
    </row>
    <row r="887" spans="1:1" ht="63.75" customHeight="1">
      <c r="A887" s="23"/>
    </row>
    <row r="888" spans="1:1" ht="63.75" customHeight="1">
      <c r="A888" s="23"/>
    </row>
    <row r="889" spans="1:1" ht="63.75" customHeight="1">
      <c r="A889" s="23"/>
    </row>
    <row r="890" spans="1:1" ht="63.75" customHeight="1">
      <c r="A890" s="23"/>
    </row>
    <row r="891" spans="1:1" ht="63.75" customHeight="1">
      <c r="A891" s="23"/>
    </row>
    <row r="892" spans="1:1" ht="63.75" customHeight="1">
      <c r="A892" s="23"/>
    </row>
    <row r="893" spans="1:1" ht="63.75" customHeight="1">
      <c r="A893" s="23"/>
    </row>
    <row r="894" spans="1:1" ht="63.75" customHeight="1">
      <c r="A894" s="23"/>
    </row>
    <row r="895" spans="1:1" ht="63.75" customHeight="1">
      <c r="A895" s="23"/>
    </row>
    <row r="896" spans="1:1" ht="63.75" customHeight="1">
      <c r="A896" s="23"/>
    </row>
    <row r="897" spans="1:1" ht="63.75" customHeight="1">
      <c r="A897" s="23"/>
    </row>
    <row r="898" spans="1:1" ht="63.75" customHeight="1">
      <c r="A898" s="23"/>
    </row>
    <row r="899" spans="1:1" ht="63.75" customHeight="1">
      <c r="A899" s="23"/>
    </row>
    <row r="900" spans="1:1" ht="63.75" customHeight="1">
      <c r="A900" s="23"/>
    </row>
    <row r="901" spans="1:1" ht="63.75" customHeight="1">
      <c r="A901" s="23"/>
    </row>
    <row r="902" spans="1:1" ht="63.75" customHeight="1">
      <c r="A902" s="23"/>
    </row>
    <row r="903" spans="1:1" ht="63.75" customHeight="1">
      <c r="A903" s="23"/>
    </row>
    <row r="904" spans="1:1" ht="63.75" customHeight="1">
      <c r="A904" s="23"/>
    </row>
    <row r="905" spans="1:1" ht="63.75" customHeight="1">
      <c r="A905" s="23"/>
    </row>
    <row r="906" spans="1:1" ht="63.75" customHeight="1">
      <c r="A906" s="23"/>
    </row>
    <row r="907" spans="1:1" ht="63.75" customHeight="1">
      <c r="A907" s="23"/>
    </row>
    <row r="908" spans="1:1" ht="63.75" customHeight="1">
      <c r="A908" s="23"/>
    </row>
    <row r="909" spans="1:1" ht="63.75" customHeight="1">
      <c r="A909" s="23"/>
    </row>
    <row r="910" spans="1:1" ht="63.75" customHeight="1">
      <c r="A910" s="23"/>
    </row>
    <row r="911" spans="1:1" ht="63.75" customHeight="1">
      <c r="A911" s="23"/>
    </row>
    <row r="912" spans="1:1" ht="63.75" customHeight="1">
      <c r="A912" s="23"/>
    </row>
    <row r="913" spans="1:1" ht="63.75" customHeight="1">
      <c r="A913" s="23"/>
    </row>
    <row r="914" spans="1:1" ht="63.75" customHeight="1">
      <c r="A914" s="23"/>
    </row>
    <row r="915" spans="1:1" ht="63.75" customHeight="1">
      <c r="A915" s="23"/>
    </row>
    <row r="916" spans="1:1" ht="63.75" customHeight="1">
      <c r="A916" s="23"/>
    </row>
    <row r="917" spans="1:1" ht="63.75" customHeight="1">
      <c r="A917" s="23"/>
    </row>
    <row r="918" spans="1:1" ht="63.75" customHeight="1">
      <c r="A918" s="23"/>
    </row>
    <row r="919" spans="1:1" ht="63.75" customHeight="1">
      <c r="A919" s="23"/>
    </row>
    <row r="920" spans="1:1" ht="63.75" customHeight="1">
      <c r="A920" s="23"/>
    </row>
    <row r="921" spans="1:1" ht="63.75" customHeight="1">
      <c r="A921" s="23"/>
    </row>
    <row r="922" spans="1:1" ht="63.75" customHeight="1">
      <c r="A922" s="23"/>
    </row>
    <row r="923" spans="1:1" ht="63.75" customHeight="1">
      <c r="A923" s="23"/>
    </row>
    <row r="924" spans="1:1" ht="63.75" customHeight="1">
      <c r="A924" s="23"/>
    </row>
    <row r="925" spans="1:1" ht="63.75" customHeight="1">
      <c r="A925" s="23"/>
    </row>
    <row r="926" spans="1:1" ht="63.75" customHeight="1">
      <c r="A926" s="23"/>
    </row>
    <row r="927" spans="1:1" ht="63.75" customHeight="1">
      <c r="A927" s="23"/>
    </row>
    <row r="928" spans="1:1" ht="63.75" customHeight="1">
      <c r="A928" s="23"/>
    </row>
    <row r="929" spans="1:1" ht="63.75" customHeight="1">
      <c r="A929" s="23"/>
    </row>
    <row r="930" spans="1:1" ht="63.75" customHeight="1">
      <c r="A930" s="23"/>
    </row>
    <row r="931" spans="1:1" ht="63.75" customHeight="1">
      <c r="A931" s="23"/>
    </row>
    <row r="932" spans="1:1" ht="63.75" customHeight="1">
      <c r="A932" s="23"/>
    </row>
    <row r="933" spans="1:1" ht="63.75" customHeight="1">
      <c r="A933" s="23"/>
    </row>
    <row r="934" spans="1:1" ht="63.75" customHeight="1">
      <c r="A934" s="23"/>
    </row>
    <row r="935" spans="1:1" ht="63.75" customHeight="1">
      <c r="A935" s="23"/>
    </row>
    <row r="936" spans="1:1" ht="63.75" customHeight="1">
      <c r="A936" s="23"/>
    </row>
    <row r="937" spans="1:1" ht="63.75" customHeight="1">
      <c r="A937" s="23"/>
    </row>
    <row r="938" spans="1:1" ht="63.75" customHeight="1">
      <c r="A938" s="23"/>
    </row>
    <row r="939" spans="1:1" ht="63.75" customHeight="1">
      <c r="A939" s="23"/>
    </row>
    <row r="940" spans="1:1" ht="63.75" customHeight="1">
      <c r="A940" s="23"/>
    </row>
    <row r="941" spans="1:1" ht="63.75" customHeight="1">
      <c r="A941" s="23"/>
    </row>
    <row r="942" spans="1:1" ht="63.75" customHeight="1">
      <c r="A942" s="23"/>
    </row>
    <row r="943" spans="1:1" ht="63.75" customHeight="1">
      <c r="A943" s="23"/>
    </row>
    <row r="944" spans="1:1" ht="63.75" customHeight="1">
      <c r="A944" s="23"/>
    </row>
    <row r="945" spans="1:1" ht="63.75" customHeight="1">
      <c r="A945" s="23"/>
    </row>
    <row r="946" spans="1:1" ht="63.75" customHeight="1">
      <c r="A946" s="23"/>
    </row>
    <row r="947" spans="1:1" ht="63.75" customHeight="1">
      <c r="A947" s="23"/>
    </row>
    <row r="948" spans="1:1" ht="63.75" customHeight="1">
      <c r="A948" s="23"/>
    </row>
    <row r="949" spans="1:1" ht="63.75" customHeight="1">
      <c r="A949" s="23"/>
    </row>
    <row r="950" spans="1:1" ht="63.75" customHeight="1">
      <c r="A950" s="23"/>
    </row>
    <row r="951" spans="1:1" ht="63.75" customHeight="1">
      <c r="A951" s="23"/>
    </row>
    <row r="952" spans="1:1" ht="63.75" customHeight="1">
      <c r="A952" s="23"/>
    </row>
    <row r="953" spans="1:1" ht="63.75" customHeight="1">
      <c r="A953" s="23"/>
    </row>
    <row r="954" spans="1:1" ht="63.75" customHeight="1">
      <c r="A954" s="23"/>
    </row>
    <row r="955" spans="1:1" ht="63.75" customHeight="1">
      <c r="A955" s="23"/>
    </row>
    <row r="956" spans="1:1" ht="63.75" customHeight="1">
      <c r="A956" s="23"/>
    </row>
    <row r="957" spans="1:1" ht="63.75" customHeight="1">
      <c r="A957" s="23"/>
    </row>
    <row r="958" spans="1:1" ht="63.75" customHeight="1">
      <c r="A958" s="23"/>
    </row>
    <row r="959" spans="1:1" ht="63.75" customHeight="1">
      <c r="A959" s="23"/>
    </row>
    <row r="960" spans="1:1" ht="63.75" customHeight="1">
      <c r="A960" s="23"/>
    </row>
    <row r="961" spans="1:1" ht="63.75" customHeight="1">
      <c r="A961" s="23"/>
    </row>
    <row r="962" spans="1:1" ht="63.75" customHeight="1">
      <c r="A962" s="23"/>
    </row>
    <row r="963" spans="1:1" ht="63.75" customHeight="1">
      <c r="A963" s="23"/>
    </row>
    <row r="964" spans="1:1" ht="63.75" customHeight="1">
      <c r="A964" s="23"/>
    </row>
    <row r="965" spans="1:1" ht="63.75" customHeight="1">
      <c r="A965" s="23"/>
    </row>
    <row r="966" spans="1:1" ht="63.75" customHeight="1">
      <c r="A966" s="23"/>
    </row>
    <row r="967" spans="1:1" ht="63.75" customHeight="1">
      <c r="A967" s="23"/>
    </row>
    <row r="968" spans="1:1" ht="63.75" customHeight="1">
      <c r="A968" s="23"/>
    </row>
    <row r="969" spans="1:1" ht="63.75" customHeight="1">
      <c r="A969" s="23"/>
    </row>
    <row r="970" spans="1:1" ht="63.75" customHeight="1">
      <c r="A970" s="23"/>
    </row>
    <row r="971" spans="1:1" ht="63.75" customHeight="1">
      <c r="A971" s="23"/>
    </row>
    <row r="972" spans="1:1" ht="63.75" customHeight="1">
      <c r="A972" s="23"/>
    </row>
    <row r="973" spans="1:1" ht="63.75" customHeight="1">
      <c r="A973" s="23"/>
    </row>
    <row r="974" spans="1:1" ht="63.75" customHeight="1">
      <c r="A974" s="23"/>
    </row>
    <row r="975" spans="1:1" ht="63.75" customHeight="1">
      <c r="A975" s="23"/>
    </row>
    <row r="976" spans="1:1" ht="63.75" customHeight="1">
      <c r="A976" s="23"/>
    </row>
    <row r="977" spans="1:1" ht="63.75" customHeight="1">
      <c r="A977" s="23"/>
    </row>
    <row r="978" spans="1:1" ht="63.75" customHeight="1">
      <c r="A978" s="23"/>
    </row>
    <row r="979" spans="1:1" ht="63.75" customHeight="1">
      <c r="A979" s="23"/>
    </row>
    <row r="980" spans="1:1" ht="63.75" customHeight="1">
      <c r="A980" s="23"/>
    </row>
    <row r="981" spans="1:1" ht="63.75" customHeight="1">
      <c r="A981" s="23"/>
    </row>
    <row r="982" spans="1:1" ht="63.75" customHeight="1">
      <c r="A982" s="23"/>
    </row>
    <row r="983" spans="1:1" ht="63.75" customHeight="1">
      <c r="A983" s="23"/>
    </row>
    <row r="984" spans="1:1" ht="63.75" customHeight="1">
      <c r="A984" s="23"/>
    </row>
    <row r="985" spans="1:1" ht="63.75" customHeight="1">
      <c r="A985" s="23"/>
    </row>
    <row r="986" spans="1:1" ht="63.75" customHeight="1">
      <c r="A986" s="23"/>
    </row>
    <row r="987" spans="1:1" ht="63.75" customHeight="1">
      <c r="A987" s="23"/>
    </row>
    <row r="988" spans="1:1" ht="63.75" customHeight="1">
      <c r="A988" s="23"/>
    </row>
    <row r="989" spans="1:1" ht="63.75" customHeight="1">
      <c r="A989" s="23"/>
    </row>
    <row r="990" spans="1:1" ht="63.75" customHeight="1">
      <c r="A990" s="23"/>
    </row>
    <row r="991" spans="1:1" ht="63.75" customHeight="1">
      <c r="A991" s="23"/>
    </row>
    <row r="992" spans="1:1" ht="63.75" customHeight="1">
      <c r="A992" s="23"/>
    </row>
    <row r="993" spans="1:1" ht="63.75" customHeight="1">
      <c r="A993" s="23"/>
    </row>
    <row r="994" spans="1:1" ht="63.75" customHeight="1">
      <c r="A994" s="23"/>
    </row>
    <row r="995" spans="1:1" ht="63.75" customHeight="1">
      <c r="A995" s="23"/>
    </row>
    <row r="996" spans="1:1" ht="63.75" customHeight="1">
      <c r="A996" s="23"/>
    </row>
    <row r="997" spans="1:1" ht="63.75" customHeight="1">
      <c r="A997" s="23"/>
    </row>
    <row r="998" spans="1:1" ht="63.75" customHeight="1">
      <c r="A998" s="23"/>
    </row>
    <row r="999" spans="1:1" ht="63.75" customHeight="1">
      <c r="A999" s="23"/>
    </row>
    <row r="1000" spans="1:1" ht="63.75" customHeight="1">
      <c r="A1000" s="23"/>
    </row>
  </sheetData>
  <mergeCells count="2">
    <mergeCell ref="A1:C1"/>
    <mergeCell ref="A2:C2"/>
  </mergeCells>
  <pageMargins left="0.7" right="0.7" top="0.75" bottom="0.75" header="0" footer="0"/>
  <pageSetup orientation="landscape"/>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C1000"/>
  <sheetViews>
    <sheetView workbookViewId="0"/>
  </sheetViews>
  <sheetFormatPr defaultColWidth="11.25" defaultRowHeight="15" customHeight="1"/>
  <cols>
    <col min="1" max="1" width="7" customWidth="1"/>
    <col min="2" max="2" width="64.375" customWidth="1"/>
    <col min="3" max="3" width="18.375" customWidth="1"/>
    <col min="4" max="4" width="18.125" customWidth="1"/>
    <col min="5" max="6" width="8.75" customWidth="1"/>
    <col min="7" max="26" width="10" customWidth="1"/>
  </cols>
  <sheetData>
    <row r="1" spans="1:3" ht="46.5" customHeight="1">
      <c r="A1" s="83" t="s">
        <v>623</v>
      </c>
      <c r="B1" s="84"/>
      <c r="C1" s="85"/>
    </row>
    <row r="2" spans="1:3" ht="36.75" customHeight="1">
      <c r="A2" s="86" t="s">
        <v>624</v>
      </c>
      <c r="B2" s="81"/>
      <c r="C2" s="82"/>
    </row>
    <row r="3" spans="1:3" ht="30" customHeight="1">
      <c r="A3" s="16" t="s">
        <v>625</v>
      </c>
      <c r="B3" s="15" t="s">
        <v>626</v>
      </c>
      <c r="C3" s="18" t="s">
        <v>627</v>
      </c>
    </row>
    <row r="4" spans="1:3" ht="30" customHeight="1">
      <c r="A4" s="19">
        <v>1</v>
      </c>
      <c r="B4" s="17" t="s">
        <v>628</v>
      </c>
      <c r="C4" s="20"/>
    </row>
    <row r="5" spans="1:3" ht="37.5" customHeight="1">
      <c r="A5" s="48" t="s">
        <v>629</v>
      </c>
      <c r="B5" s="21" t="s">
        <v>630</v>
      </c>
      <c r="C5" s="18" t="s">
        <v>631</v>
      </c>
    </row>
    <row r="6" spans="1:3" ht="66.75" customHeight="1">
      <c r="A6" s="19">
        <v>1</v>
      </c>
      <c r="B6" s="22" t="s">
        <v>632</v>
      </c>
      <c r="C6" s="20"/>
    </row>
    <row r="7" spans="1:3" ht="66.75" customHeight="1">
      <c r="A7" s="19">
        <v>2</v>
      </c>
      <c r="B7" s="22" t="s">
        <v>633</v>
      </c>
      <c r="C7" s="20"/>
    </row>
    <row r="8" spans="1:3" ht="66.75" customHeight="1">
      <c r="A8" s="19">
        <v>3</v>
      </c>
      <c r="B8" s="22" t="s">
        <v>634</v>
      </c>
      <c r="C8" s="20"/>
    </row>
    <row r="9" spans="1:3" ht="66.75" customHeight="1">
      <c r="A9" s="26"/>
      <c r="B9" s="50"/>
      <c r="C9" s="28"/>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C1000"/>
  <sheetViews>
    <sheetView workbookViewId="0"/>
  </sheetViews>
  <sheetFormatPr defaultColWidth="11.25" defaultRowHeight="15" customHeight="1"/>
  <cols>
    <col min="1" max="1" width="7.875" customWidth="1"/>
    <col min="2" max="2" width="64.5" customWidth="1"/>
    <col min="3" max="3" width="18.375" customWidth="1"/>
    <col min="4" max="4" width="18.125" customWidth="1"/>
    <col min="5" max="6" width="8.75" customWidth="1"/>
    <col min="7" max="26" width="10" customWidth="1"/>
  </cols>
  <sheetData>
    <row r="1" spans="1:3" ht="30.75" customHeight="1">
      <c r="A1" s="83" t="s">
        <v>635</v>
      </c>
      <c r="B1" s="84"/>
      <c r="C1" s="85"/>
    </row>
    <row r="2" spans="1:3" ht="27" customHeight="1">
      <c r="A2" s="87" t="s">
        <v>636</v>
      </c>
      <c r="B2" s="81"/>
      <c r="C2" s="82"/>
    </row>
    <row r="3" spans="1:3" ht="30" customHeight="1">
      <c r="A3" s="16" t="s">
        <v>625</v>
      </c>
      <c r="B3" s="15" t="s">
        <v>626</v>
      </c>
      <c r="C3" s="18" t="s">
        <v>627</v>
      </c>
    </row>
    <row r="4" spans="1:3" ht="30" customHeight="1">
      <c r="A4" s="19">
        <v>1</v>
      </c>
      <c r="B4" s="17" t="s">
        <v>637</v>
      </c>
      <c r="C4" s="20"/>
    </row>
    <row r="5" spans="1:3" ht="38.25" customHeight="1">
      <c r="A5" s="48" t="s">
        <v>629</v>
      </c>
      <c r="B5" s="21" t="s">
        <v>630</v>
      </c>
      <c r="C5" s="18" t="s">
        <v>638</v>
      </c>
    </row>
    <row r="6" spans="1:3" ht="79.5" customHeight="1">
      <c r="A6" s="19">
        <v>1</v>
      </c>
      <c r="B6" s="22" t="s">
        <v>639</v>
      </c>
      <c r="C6" s="20"/>
    </row>
    <row r="7" spans="1:3" ht="66.75" customHeight="1">
      <c r="A7" s="19">
        <v>2</v>
      </c>
      <c r="B7" s="22" t="s">
        <v>640</v>
      </c>
      <c r="C7" s="20"/>
    </row>
    <row r="8" spans="1:3" ht="66.75" customHeight="1">
      <c r="A8" s="26"/>
      <c r="B8" s="50"/>
      <c r="C8" s="28"/>
    </row>
    <row r="9" spans="1:3">
      <c r="A9" s="23"/>
    </row>
    <row r="10" spans="1:3">
      <c r="A10" s="23"/>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C1000"/>
  <sheetViews>
    <sheetView workbookViewId="0"/>
  </sheetViews>
  <sheetFormatPr defaultColWidth="11.25" defaultRowHeight="15" customHeight="1"/>
  <cols>
    <col min="1" max="1" width="6.5" customWidth="1"/>
    <col min="2" max="2" width="60.375" customWidth="1"/>
    <col min="3" max="3" width="18.375" customWidth="1"/>
    <col min="4" max="4" width="18.125" customWidth="1"/>
    <col min="5" max="6" width="8.75" customWidth="1"/>
    <col min="7" max="26" width="10" customWidth="1"/>
  </cols>
  <sheetData>
    <row r="1" spans="1:3" ht="30.75" customHeight="1">
      <c r="A1" s="83" t="s">
        <v>635</v>
      </c>
      <c r="B1" s="84"/>
      <c r="C1" s="85"/>
    </row>
    <row r="2" spans="1:3">
      <c r="A2" s="87" t="s">
        <v>641</v>
      </c>
      <c r="B2" s="81"/>
      <c r="C2" s="82"/>
    </row>
    <row r="3" spans="1:3" ht="30" customHeight="1">
      <c r="A3" s="16" t="s">
        <v>625</v>
      </c>
      <c r="B3" s="17" t="s">
        <v>587</v>
      </c>
      <c r="C3" s="18" t="s">
        <v>627</v>
      </c>
    </row>
    <row r="4" spans="1:3">
      <c r="A4" s="19">
        <v>1</v>
      </c>
      <c r="B4" s="15" t="s">
        <v>642</v>
      </c>
      <c r="C4" s="20"/>
    </row>
    <row r="5" spans="1:3">
      <c r="A5" s="19"/>
      <c r="B5" s="15" t="s">
        <v>643</v>
      </c>
      <c r="C5" s="20"/>
    </row>
    <row r="6" spans="1:3">
      <c r="A6" s="19">
        <v>2</v>
      </c>
      <c r="B6" s="15" t="s">
        <v>644</v>
      </c>
      <c r="C6" s="20"/>
    </row>
    <row r="7" spans="1:3">
      <c r="A7" s="19"/>
      <c r="B7" s="15" t="s">
        <v>645</v>
      </c>
      <c r="C7" s="20"/>
    </row>
    <row r="8" spans="1:3" ht="30" customHeight="1">
      <c r="A8" s="48" t="s">
        <v>629</v>
      </c>
      <c r="B8" s="21" t="s">
        <v>630</v>
      </c>
      <c r="C8" s="18" t="s">
        <v>638</v>
      </c>
    </row>
    <row r="9" spans="1:3" ht="79.5" customHeight="1">
      <c r="A9" s="19">
        <v>1</v>
      </c>
      <c r="B9" s="22" t="s">
        <v>646</v>
      </c>
      <c r="C9" s="20"/>
    </row>
    <row r="10" spans="1:3" ht="66.75" customHeight="1">
      <c r="A10" s="19"/>
      <c r="B10" s="22"/>
      <c r="C10" s="20"/>
    </row>
    <row r="11" spans="1:3" ht="66.75" customHeight="1">
      <c r="A11" s="26"/>
      <c r="B11" s="50"/>
      <c r="C11" s="28"/>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D1000"/>
  <sheetViews>
    <sheetView workbookViewId="0"/>
  </sheetViews>
  <sheetFormatPr defaultColWidth="11.25" defaultRowHeight="15" customHeight="1"/>
  <cols>
    <col min="1" max="1" width="7" customWidth="1"/>
    <col min="2" max="2" width="53.375" customWidth="1"/>
    <col min="3" max="3" width="18.375" customWidth="1"/>
    <col min="4" max="4" width="18.125" customWidth="1"/>
    <col min="5" max="6" width="8.75" customWidth="1"/>
    <col min="7" max="26" width="10" customWidth="1"/>
  </cols>
  <sheetData>
    <row r="1" spans="1:4" ht="30.75" customHeight="1">
      <c r="A1" s="83" t="s">
        <v>635</v>
      </c>
      <c r="B1" s="84"/>
      <c r="C1" s="85"/>
    </row>
    <row r="2" spans="1:4">
      <c r="A2" s="87" t="s">
        <v>647</v>
      </c>
      <c r="B2" s="81"/>
      <c r="C2" s="82"/>
    </row>
    <row r="3" spans="1:4" ht="30" customHeight="1">
      <c r="A3" s="16" t="s">
        <v>625</v>
      </c>
      <c r="B3" s="17" t="s">
        <v>587</v>
      </c>
      <c r="C3" s="18" t="s">
        <v>627</v>
      </c>
    </row>
    <row r="4" spans="1:4" ht="30" customHeight="1">
      <c r="A4" s="48" t="s">
        <v>629</v>
      </c>
      <c r="B4" s="21" t="s">
        <v>630</v>
      </c>
      <c r="C4" s="18" t="s">
        <v>638</v>
      </c>
    </row>
    <row r="5" spans="1:4" ht="79.5" customHeight="1">
      <c r="A5" s="19">
        <v>1</v>
      </c>
      <c r="B5" s="22" t="s">
        <v>648</v>
      </c>
      <c r="C5" s="20"/>
    </row>
    <row r="6" spans="1:4" ht="66.75" customHeight="1">
      <c r="A6" s="19">
        <v>2</v>
      </c>
      <c r="B6" s="22" t="s">
        <v>649</v>
      </c>
      <c r="C6" s="20"/>
      <c r="D6" s="12"/>
    </row>
    <row r="7" spans="1:4" ht="66.75" customHeight="1">
      <c r="A7" s="26"/>
      <c r="B7" s="22"/>
      <c r="C7" s="28"/>
    </row>
    <row r="8" spans="1:4">
      <c r="A8" s="23"/>
    </row>
    <row r="9" spans="1:4">
      <c r="A9" s="23"/>
    </row>
    <row r="10" spans="1:4">
      <c r="A10" s="23"/>
    </row>
    <row r="11" spans="1:4">
      <c r="A11" s="23"/>
    </row>
    <row r="12" spans="1:4">
      <c r="A12" s="23"/>
    </row>
    <row r="13" spans="1:4">
      <c r="A13" s="23"/>
    </row>
    <row r="14" spans="1:4">
      <c r="A14" s="23"/>
    </row>
    <row r="15" spans="1:4">
      <c r="A15" s="23"/>
    </row>
    <row r="16" spans="1:4">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C1000"/>
  <sheetViews>
    <sheetView workbookViewId="0"/>
  </sheetViews>
  <sheetFormatPr defaultColWidth="11.25" defaultRowHeight="15" customHeight="1"/>
  <cols>
    <col min="1" max="1" width="6.75" customWidth="1"/>
    <col min="2" max="2" width="64.75" customWidth="1"/>
    <col min="3" max="3" width="18.375" customWidth="1"/>
    <col min="4" max="6" width="8.75" customWidth="1"/>
    <col min="7" max="26" width="10" customWidth="1"/>
  </cols>
  <sheetData>
    <row r="1" spans="1:3" ht="30.75" customHeight="1">
      <c r="A1" s="83" t="s">
        <v>650</v>
      </c>
      <c r="B1" s="84"/>
      <c r="C1" s="85"/>
    </row>
    <row r="2" spans="1:3">
      <c r="A2" s="87" t="s">
        <v>651</v>
      </c>
      <c r="B2" s="81"/>
      <c r="C2" s="82"/>
    </row>
    <row r="3" spans="1:3" ht="30" customHeight="1">
      <c r="A3" s="16" t="s">
        <v>625</v>
      </c>
      <c r="B3" s="17" t="s">
        <v>587</v>
      </c>
      <c r="C3" s="18" t="s">
        <v>627</v>
      </c>
    </row>
    <row r="4" spans="1:3">
      <c r="A4" s="19">
        <v>1</v>
      </c>
      <c r="B4" s="15" t="s">
        <v>652</v>
      </c>
      <c r="C4" s="20"/>
    </row>
    <row r="5" spans="1:3">
      <c r="A5" s="19"/>
      <c r="B5" s="15" t="s">
        <v>653</v>
      </c>
      <c r="C5" s="20"/>
    </row>
    <row r="6" spans="1:3">
      <c r="A6" s="19">
        <v>2</v>
      </c>
      <c r="B6" s="15" t="s">
        <v>654</v>
      </c>
      <c r="C6" s="20"/>
    </row>
    <row r="7" spans="1:3">
      <c r="A7" s="19"/>
      <c r="B7" s="15" t="s">
        <v>655</v>
      </c>
      <c r="C7" s="20"/>
    </row>
    <row r="8" spans="1:3">
      <c r="A8" s="19">
        <v>3</v>
      </c>
      <c r="B8" s="12" t="s">
        <v>656</v>
      </c>
      <c r="C8" s="20"/>
    </row>
    <row r="9" spans="1:3">
      <c r="A9" s="19"/>
      <c r="B9" s="15" t="s">
        <v>657</v>
      </c>
      <c r="C9" s="20"/>
    </row>
    <row r="10" spans="1:3">
      <c r="A10" s="19">
        <v>4</v>
      </c>
      <c r="B10" s="15" t="s">
        <v>658</v>
      </c>
      <c r="C10" s="20"/>
    </row>
    <row r="11" spans="1:3">
      <c r="A11" s="19"/>
      <c r="B11" s="15" t="s">
        <v>659</v>
      </c>
      <c r="C11" s="20"/>
    </row>
    <row r="12" spans="1:3">
      <c r="A12" s="19">
        <v>5</v>
      </c>
      <c r="B12" s="15" t="s">
        <v>660</v>
      </c>
      <c r="C12" s="20"/>
    </row>
    <row r="13" spans="1:3">
      <c r="A13" s="19"/>
      <c r="B13" s="15" t="s">
        <v>661</v>
      </c>
      <c r="C13" s="20"/>
    </row>
    <row r="14" spans="1:3">
      <c r="A14" s="19">
        <v>6</v>
      </c>
      <c r="B14" s="15" t="s">
        <v>662</v>
      </c>
      <c r="C14" s="20"/>
    </row>
    <row r="15" spans="1:3">
      <c r="A15" s="19"/>
      <c r="B15" s="15" t="s">
        <v>663</v>
      </c>
      <c r="C15" s="20"/>
    </row>
    <row r="16" spans="1:3">
      <c r="A16" s="19">
        <v>7</v>
      </c>
      <c r="B16" s="15" t="s">
        <v>664</v>
      </c>
      <c r="C16" s="20"/>
    </row>
    <row r="17" spans="1:3">
      <c r="A17" s="19"/>
      <c r="B17" s="15" t="s">
        <v>665</v>
      </c>
      <c r="C17" s="20"/>
    </row>
    <row r="18" spans="1:3">
      <c r="A18" s="19">
        <v>8</v>
      </c>
      <c r="B18" s="15" t="s">
        <v>666</v>
      </c>
      <c r="C18" s="20"/>
    </row>
    <row r="19" spans="1:3">
      <c r="A19" s="19"/>
      <c r="B19" s="15" t="s">
        <v>667</v>
      </c>
      <c r="C19" s="20"/>
    </row>
    <row r="20" spans="1:3">
      <c r="A20" s="19">
        <v>9</v>
      </c>
      <c r="B20" s="15" t="s">
        <v>668</v>
      </c>
      <c r="C20" s="20"/>
    </row>
    <row r="21" spans="1:3" ht="15.75" customHeight="1">
      <c r="A21" s="19"/>
      <c r="B21" s="15" t="s">
        <v>669</v>
      </c>
      <c r="C21" s="20"/>
    </row>
    <row r="22" spans="1:3" ht="30" customHeight="1">
      <c r="A22" s="48" t="s">
        <v>629</v>
      </c>
      <c r="B22" s="21" t="s">
        <v>630</v>
      </c>
      <c r="C22" s="18" t="s">
        <v>638</v>
      </c>
    </row>
    <row r="23" spans="1:3" ht="66.75" customHeight="1">
      <c r="A23" s="19">
        <v>1</v>
      </c>
      <c r="B23" s="22" t="s">
        <v>670</v>
      </c>
      <c r="C23" s="20"/>
    </row>
    <row r="24" spans="1:3" ht="66.75" customHeight="1">
      <c r="A24" s="19"/>
      <c r="B24" s="32"/>
      <c r="C24" s="20"/>
    </row>
    <row r="25" spans="1:3" ht="66.75" customHeight="1">
      <c r="A25" s="19"/>
      <c r="B25" s="32"/>
      <c r="C25" s="20"/>
    </row>
    <row r="26" spans="1:3" ht="66.75" customHeight="1">
      <c r="A26" s="33"/>
      <c r="C26" s="34"/>
    </row>
    <row r="27" spans="1:3" ht="66.75" customHeight="1">
      <c r="A27" s="35"/>
      <c r="B27" s="36"/>
      <c r="C27" s="37"/>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C1000"/>
  <sheetViews>
    <sheetView workbookViewId="0"/>
  </sheetViews>
  <sheetFormatPr defaultColWidth="11.25" defaultRowHeight="15" customHeight="1"/>
  <cols>
    <col min="1" max="1" width="8.125" customWidth="1"/>
    <col min="2" max="2" width="53.375" customWidth="1"/>
    <col min="3" max="3" width="18.375" customWidth="1"/>
    <col min="4" max="6" width="8.75" customWidth="1"/>
    <col min="7" max="26" width="10" customWidth="1"/>
  </cols>
  <sheetData>
    <row r="1" spans="1:3" ht="63" customHeight="1">
      <c r="A1" s="83" t="s">
        <v>671</v>
      </c>
      <c r="B1" s="84"/>
      <c r="C1" s="85"/>
    </row>
    <row r="2" spans="1:3" ht="30.75" customHeight="1">
      <c r="A2" s="86" t="s">
        <v>672</v>
      </c>
      <c r="B2" s="81"/>
      <c r="C2" s="82"/>
    </row>
    <row r="3" spans="1:3" ht="30" customHeight="1">
      <c r="A3" s="16" t="s">
        <v>625</v>
      </c>
      <c r="B3" s="17" t="s">
        <v>587</v>
      </c>
      <c r="C3" s="18" t="s">
        <v>627</v>
      </c>
    </row>
    <row r="4" spans="1:3" ht="30" customHeight="1">
      <c r="A4" s="19">
        <v>1</v>
      </c>
      <c r="B4" s="17" t="s">
        <v>555</v>
      </c>
      <c r="C4" s="20"/>
    </row>
    <row r="5" spans="1:3" ht="45" customHeight="1">
      <c r="A5" s="19">
        <v>2</v>
      </c>
      <c r="B5" s="17" t="s">
        <v>505</v>
      </c>
      <c r="C5" s="20"/>
    </row>
    <row r="6" spans="1:3" ht="45" customHeight="1">
      <c r="A6" s="19">
        <v>3</v>
      </c>
      <c r="B6" s="29" t="s">
        <v>512</v>
      </c>
      <c r="C6" s="20"/>
    </row>
    <row r="7" spans="1:3" ht="30" customHeight="1">
      <c r="A7" s="19">
        <v>4</v>
      </c>
      <c r="B7" s="17" t="s">
        <v>557</v>
      </c>
      <c r="C7" s="20"/>
    </row>
    <row r="8" spans="1:3" ht="45" customHeight="1">
      <c r="A8" s="19">
        <v>5</v>
      </c>
      <c r="B8" s="17" t="s">
        <v>558</v>
      </c>
      <c r="C8" s="20"/>
    </row>
    <row r="9" spans="1:3" ht="30" customHeight="1">
      <c r="A9" s="19">
        <v>6</v>
      </c>
      <c r="B9" s="17" t="s">
        <v>559</v>
      </c>
      <c r="C9" s="20"/>
    </row>
    <row r="10" spans="1:3" ht="45" customHeight="1">
      <c r="A10" s="19">
        <v>7</v>
      </c>
      <c r="B10" s="17" t="s">
        <v>524</v>
      </c>
      <c r="C10" s="20"/>
    </row>
    <row r="11" spans="1:3" ht="45" customHeight="1">
      <c r="A11" s="19">
        <v>8</v>
      </c>
      <c r="B11" s="17" t="s">
        <v>673</v>
      </c>
      <c r="C11" s="20"/>
    </row>
    <row r="12" spans="1:3" ht="45" customHeight="1">
      <c r="A12" s="19">
        <v>9</v>
      </c>
      <c r="B12" s="17" t="s">
        <v>674</v>
      </c>
      <c r="C12" s="20"/>
    </row>
    <row r="13" spans="1:3" ht="45" customHeight="1">
      <c r="A13" s="19">
        <v>10</v>
      </c>
      <c r="B13" s="17" t="s">
        <v>675</v>
      </c>
      <c r="C13" s="20"/>
    </row>
    <row r="14" spans="1:3" ht="30" customHeight="1">
      <c r="A14" s="48" t="s">
        <v>629</v>
      </c>
      <c r="B14" s="21" t="s">
        <v>630</v>
      </c>
      <c r="C14" s="18" t="s">
        <v>638</v>
      </c>
    </row>
    <row r="15" spans="1:3" ht="66.75" customHeight="1">
      <c r="A15" s="19">
        <v>1</v>
      </c>
      <c r="B15" s="22" t="s">
        <v>676</v>
      </c>
      <c r="C15" s="20"/>
    </row>
    <row r="16" spans="1:3" ht="66.75" customHeight="1">
      <c r="A16" s="19"/>
      <c r="B16" s="32"/>
      <c r="C16" s="20"/>
    </row>
    <row r="17" spans="1:3" ht="66.75" customHeight="1">
      <c r="A17" s="19"/>
      <c r="B17" s="32"/>
      <c r="C17" s="20"/>
    </row>
    <row r="18" spans="1:3" ht="66.75" customHeight="1">
      <c r="A18" s="33"/>
      <c r="C18" s="34"/>
    </row>
    <row r="19" spans="1:3" ht="66.75" customHeight="1">
      <c r="A19" s="35"/>
      <c r="B19" s="36"/>
      <c r="C19" s="37"/>
    </row>
    <row r="20" spans="1:3">
      <c r="A20" s="23"/>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C1000"/>
  <sheetViews>
    <sheetView workbookViewId="0"/>
  </sheetViews>
  <sheetFormatPr defaultColWidth="11.25" defaultRowHeight="15" customHeight="1"/>
  <cols>
    <col min="1" max="1" width="6.5" customWidth="1"/>
    <col min="2" max="2" width="53.375" customWidth="1"/>
    <col min="3" max="3" width="18.375" customWidth="1"/>
    <col min="4" max="6" width="8.75" customWidth="1"/>
    <col min="7" max="26" width="10" customWidth="1"/>
  </cols>
  <sheetData>
    <row r="1" spans="1:3" ht="60.75" customHeight="1">
      <c r="A1" s="83" t="s">
        <v>671</v>
      </c>
      <c r="B1" s="84"/>
      <c r="C1" s="85"/>
    </row>
    <row r="2" spans="1:3" ht="30.75" customHeight="1">
      <c r="A2" s="86" t="s">
        <v>677</v>
      </c>
      <c r="B2" s="81"/>
      <c r="C2" s="82"/>
    </row>
    <row r="3" spans="1:3" ht="30" customHeight="1">
      <c r="A3" s="16" t="s">
        <v>625</v>
      </c>
      <c r="B3" s="17" t="s">
        <v>587</v>
      </c>
      <c r="C3" s="18" t="s">
        <v>627</v>
      </c>
    </row>
    <row r="4" spans="1:3" ht="30" customHeight="1">
      <c r="A4" s="19">
        <v>1</v>
      </c>
      <c r="B4" s="17" t="s">
        <v>555</v>
      </c>
      <c r="C4" s="20"/>
    </row>
    <row r="5" spans="1:3" ht="45" customHeight="1">
      <c r="A5" s="19">
        <v>2</v>
      </c>
      <c r="B5" s="17" t="s">
        <v>505</v>
      </c>
      <c r="C5" s="20"/>
    </row>
    <row r="6" spans="1:3" ht="45" customHeight="1">
      <c r="A6" s="19">
        <v>3</v>
      </c>
      <c r="B6" s="29" t="s">
        <v>512</v>
      </c>
      <c r="C6" s="20"/>
    </row>
    <row r="7" spans="1:3" ht="30" customHeight="1">
      <c r="A7" s="19">
        <v>4</v>
      </c>
      <c r="B7" s="17" t="s">
        <v>513</v>
      </c>
      <c r="C7" s="20"/>
    </row>
    <row r="8" spans="1:3" ht="45" customHeight="1">
      <c r="A8" s="19">
        <v>5</v>
      </c>
      <c r="B8" s="17" t="s">
        <v>558</v>
      </c>
      <c r="C8" s="20"/>
    </row>
    <row r="9" spans="1:3" ht="30" customHeight="1">
      <c r="A9" s="19">
        <v>6</v>
      </c>
      <c r="B9" s="17" t="s">
        <v>559</v>
      </c>
      <c r="C9" s="20"/>
    </row>
    <row r="10" spans="1:3" ht="45" customHeight="1">
      <c r="A10" s="19">
        <v>7</v>
      </c>
      <c r="B10" s="17" t="s">
        <v>524</v>
      </c>
      <c r="C10" s="20"/>
    </row>
    <row r="11" spans="1:3" ht="45" customHeight="1">
      <c r="A11" s="19">
        <v>8</v>
      </c>
      <c r="B11" s="17" t="s">
        <v>673</v>
      </c>
      <c r="C11" s="20"/>
    </row>
    <row r="12" spans="1:3" ht="45" customHeight="1">
      <c r="A12" s="19">
        <v>9</v>
      </c>
      <c r="B12" s="17" t="s">
        <v>674</v>
      </c>
      <c r="C12" s="20"/>
    </row>
    <row r="13" spans="1:3" ht="45" customHeight="1">
      <c r="A13" s="19">
        <v>10</v>
      </c>
      <c r="B13" s="17" t="s">
        <v>675</v>
      </c>
      <c r="C13" s="20"/>
    </row>
    <row r="14" spans="1:3" ht="45" customHeight="1">
      <c r="A14" s="19">
        <v>11</v>
      </c>
      <c r="B14" s="21" t="s">
        <v>678</v>
      </c>
      <c r="C14" s="20"/>
    </row>
    <row r="15" spans="1:3" ht="30" customHeight="1">
      <c r="A15" s="48" t="s">
        <v>629</v>
      </c>
      <c r="B15" s="21" t="s">
        <v>630</v>
      </c>
      <c r="C15" s="18" t="s">
        <v>638</v>
      </c>
    </row>
    <row r="16" spans="1:3" ht="96" customHeight="1">
      <c r="A16" s="19">
        <v>1</v>
      </c>
      <c r="B16" s="22" t="s">
        <v>679</v>
      </c>
      <c r="C16" s="20"/>
    </row>
    <row r="17" spans="1:3" ht="66.75" customHeight="1">
      <c r="A17" s="19">
        <v>2</v>
      </c>
      <c r="B17" s="22" t="s">
        <v>680</v>
      </c>
      <c r="C17" s="20"/>
    </row>
    <row r="18" spans="1:3" ht="66.75" customHeight="1">
      <c r="A18" s="19"/>
      <c r="B18" s="32"/>
      <c r="C18" s="20"/>
    </row>
    <row r="19" spans="1:3" ht="66.75" customHeight="1">
      <c r="A19" s="33"/>
      <c r="C19" s="34"/>
    </row>
    <row r="20" spans="1:3" ht="66.75" customHeight="1">
      <c r="A20" s="35"/>
      <c r="B20" s="36"/>
      <c r="C20" s="37"/>
    </row>
    <row r="21" spans="1:3" ht="15.75" customHeight="1">
      <c r="A21" s="23"/>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C1000"/>
  <sheetViews>
    <sheetView workbookViewId="0"/>
  </sheetViews>
  <sheetFormatPr defaultColWidth="11.25" defaultRowHeight="15" customHeight="1"/>
  <cols>
    <col min="1" max="1" width="7.125" customWidth="1"/>
    <col min="2" max="2" width="53.375" customWidth="1"/>
    <col min="3" max="3" width="18.375" customWidth="1"/>
    <col min="4" max="6" width="8.75" customWidth="1"/>
    <col min="7" max="26" width="10" customWidth="1"/>
  </cols>
  <sheetData>
    <row r="1" spans="1:3" ht="63" customHeight="1">
      <c r="A1" s="83" t="s">
        <v>671</v>
      </c>
      <c r="B1" s="84"/>
      <c r="C1" s="85"/>
    </row>
    <row r="2" spans="1:3" ht="30.75" customHeight="1">
      <c r="A2" s="86" t="s">
        <v>681</v>
      </c>
      <c r="B2" s="81"/>
      <c r="C2" s="82"/>
    </row>
    <row r="3" spans="1:3" ht="30" customHeight="1">
      <c r="A3" s="16" t="s">
        <v>625</v>
      </c>
      <c r="B3" s="17" t="s">
        <v>587</v>
      </c>
      <c r="C3" s="18" t="s">
        <v>627</v>
      </c>
    </row>
    <row r="4" spans="1:3" ht="30" customHeight="1">
      <c r="A4" s="19">
        <v>1</v>
      </c>
      <c r="B4" s="17" t="s">
        <v>555</v>
      </c>
      <c r="C4" s="20"/>
    </row>
    <row r="5" spans="1:3" ht="45" customHeight="1">
      <c r="A5" s="19">
        <v>2</v>
      </c>
      <c r="B5" s="17" t="s">
        <v>505</v>
      </c>
      <c r="C5" s="20"/>
    </row>
    <row r="6" spans="1:3" ht="45" customHeight="1">
      <c r="A6" s="19">
        <v>3</v>
      </c>
      <c r="B6" s="29" t="s">
        <v>512</v>
      </c>
      <c r="C6" s="20"/>
    </row>
    <row r="7" spans="1:3" ht="30" customHeight="1">
      <c r="A7" s="19">
        <v>4</v>
      </c>
      <c r="B7" s="17" t="s">
        <v>513</v>
      </c>
      <c r="C7" s="20"/>
    </row>
    <row r="8" spans="1:3" ht="45" customHeight="1">
      <c r="A8" s="19">
        <v>5</v>
      </c>
      <c r="B8" s="17" t="s">
        <v>558</v>
      </c>
      <c r="C8" s="20"/>
    </row>
    <row r="9" spans="1:3" ht="30" customHeight="1">
      <c r="A9" s="19">
        <v>6</v>
      </c>
      <c r="B9" s="17" t="s">
        <v>559</v>
      </c>
      <c r="C9" s="20"/>
    </row>
    <row r="10" spans="1:3" ht="45" customHeight="1">
      <c r="A10" s="19">
        <v>7</v>
      </c>
      <c r="B10" s="17" t="s">
        <v>524</v>
      </c>
      <c r="C10" s="20"/>
    </row>
    <row r="11" spans="1:3" ht="45" customHeight="1">
      <c r="A11" s="19">
        <v>8</v>
      </c>
      <c r="B11" s="17" t="s">
        <v>673</v>
      </c>
      <c r="C11" s="20"/>
    </row>
    <row r="12" spans="1:3" ht="45" customHeight="1">
      <c r="A12" s="19">
        <v>9</v>
      </c>
      <c r="B12" s="17" t="s">
        <v>674</v>
      </c>
      <c r="C12" s="20"/>
    </row>
    <row r="13" spans="1:3" ht="45" customHeight="1">
      <c r="A13" s="19">
        <v>10</v>
      </c>
      <c r="B13" s="17" t="s">
        <v>675</v>
      </c>
      <c r="C13" s="20"/>
    </row>
    <row r="14" spans="1:3" ht="45" customHeight="1">
      <c r="A14" s="19">
        <v>11</v>
      </c>
      <c r="B14" s="21" t="s">
        <v>682</v>
      </c>
      <c r="C14" s="20"/>
    </row>
    <row r="15" spans="1:3" ht="45" customHeight="1">
      <c r="A15" s="19">
        <v>12</v>
      </c>
      <c r="B15" s="17" t="s">
        <v>683</v>
      </c>
      <c r="C15" s="20"/>
    </row>
    <row r="16" spans="1:3" ht="30" customHeight="1">
      <c r="A16" s="48" t="s">
        <v>629</v>
      </c>
      <c r="B16" s="21" t="s">
        <v>630</v>
      </c>
      <c r="C16" s="18" t="s">
        <v>638</v>
      </c>
    </row>
    <row r="17" spans="1:3" ht="66.75" customHeight="1">
      <c r="A17" s="19">
        <v>1</v>
      </c>
      <c r="B17" s="22" t="s">
        <v>684</v>
      </c>
      <c r="C17" s="20"/>
    </row>
    <row r="18" spans="1:3" ht="66.75" customHeight="1">
      <c r="A18" s="19">
        <v>2</v>
      </c>
      <c r="B18" s="22" t="s">
        <v>685</v>
      </c>
      <c r="C18" s="20"/>
    </row>
    <row r="19" spans="1:3" ht="66.75" customHeight="1">
      <c r="A19" s="19"/>
      <c r="B19" s="32"/>
      <c r="C19" s="20"/>
    </row>
    <row r="20" spans="1:3" ht="66.75" customHeight="1">
      <c r="A20" s="33"/>
      <c r="C20" s="34"/>
    </row>
    <row r="21" spans="1:3" ht="66.75" customHeight="1">
      <c r="A21" s="35"/>
      <c r="B21" s="36"/>
      <c r="C21" s="37"/>
    </row>
    <row r="22" spans="1:3" ht="15.75" customHeight="1">
      <c r="A22" s="23"/>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C1000"/>
  <sheetViews>
    <sheetView workbookViewId="0"/>
  </sheetViews>
  <sheetFormatPr defaultColWidth="11.25" defaultRowHeight="15" customHeight="1"/>
  <cols>
    <col min="1" max="1" width="8.125" customWidth="1"/>
    <col min="2" max="2" width="53.375" customWidth="1"/>
    <col min="3" max="3" width="18.375" customWidth="1"/>
    <col min="4" max="6" width="8.75" customWidth="1"/>
    <col min="7" max="26" width="10" customWidth="1"/>
  </cols>
  <sheetData>
    <row r="1" spans="1:3" ht="63.75" customHeight="1">
      <c r="A1" s="83" t="s">
        <v>671</v>
      </c>
      <c r="B1" s="84"/>
      <c r="C1" s="85"/>
    </row>
    <row r="2" spans="1:3" ht="30.75" customHeight="1">
      <c r="A2" s="86" t="s">
        <v>686</v>
      </c>
      <c r="B2" s="81"/>
      <c r="C2" s="82"/>
    </row>
    <row r="3" spans="1:3" ht="30" customHeight="1">
      <c r="A3" s="16" t="s">
        <v>625</v>
      </c>
      <c r="B3" s="17" t="s">
        <v>587</v>
      </c>
      <c r="C3" s="18" t="s">
        <v>627</v>
      </c>
    </row>
    <row r="4" spans="1:3" ht="30" customHeight="1">
      <c r="A4" s="19">
        <v>1</v>
      </c>
      <c r="B4" s="17" t="s">
        <v>555</v>
      </c>
      <c r="C4" s="20"/>
    </row>
    <row r="5" spans="1:3" ht="45" customHeight="1">
      <c r="A5" s="19">
        <v>2</v>
      </c>
      <c r="B5" s="17" t="s">
        <v>505</v>
      </c>
      <c r="C5" s="20"/>
    </row>
    <row r="6" spans="1:3" ht="45" customHeight="1">
      <c r="A6" s="19">
        <v>3</v>
      </c>
      <c r="B6" s="29" t="s">
        <v>512</v>
      </c>
      <c r="C6" s="20"/>
    </row>
    <row r="7" spans="1:3" ht="30" customHeight="1">
      <c r="A7" s="19">
        <v>4</v>
      </c>
      <c r="B7" s="17" t="s">
        <v>513</v>
      </c>
      <c r="C7" s="20"/>
    </row>
    <row r="8" spans="1:3" ht="45" customHeight="1">
      <c r="A8" s="19">
        <v>5</v>
      </c>
      <c r="B8" s="17" t="s">
        <v>558</v>
      </c>
      <c r="C8" s="20"/>
    </row>
    <row r="9" spans="1:3" ht="30" customHeight="1">
      <c r="A9" s="19">
        <v>6</v>
      </c>
      <c r="B9" s="17" t="s">
        <v>559</v>
      </c>
      <c r="C9" s="20"/>
    </row>
    <row r="10" spans="1:3" ht="45" customHeight="1">
      <c r="A10" s="19">
        <v>7</v>
      </c>
      <c r="B10" s="17" t="s">
        <v>524</v>
      </c>
      <c r="C10" s="20"/>
    </row>
    <row r="11" spans="1:3" ht="45" customHeight="1">
      <c r="A11" s="19">
        <v>8</v>
      </c>
      <c r="B11" s="17" t="s">
        <v>673</v>
      </c>
      <c r="C11" s="20"/>
    </row>
    <row r="12" spans="1:3" ht="45" customHeight="1">
      <c r="A12" s="19">
        <v>9</v>
      </c>
      <c r="B12" s="17" t="s">
        <v>674</v>
      </c>
      <c r="C12" s="20"/>
    </row>
    <row r="13" spans="1:3" ht="45" customHeight="1">
      <c r="A13" s="19">
        <v>10</v>
      </c>
      <c r="B13" s="17" t="s">
        <v>675</v>
      </c>
      <c r="C13" s="20"/>
    </row>
    <row r="14" spans="1:3" ht="45" customHeight="1">
      <c r="A14" s="19">
        <v>11</v>
      </c>
      <c r="B14" s="21" t="s">
        <v>682</v>
      </c>
      <c r="C14" s="20"/>
    </row>
    <row r="15" spans="1:3" ht="45" customHeight="1">
      <c r="A15" s="19">
        <v>12</v>
      </c>
      <c r="B15" s="17" t="s">
        <v>683</v>
      </c>
      <c r="C15" s="20"/>
    </row>
    <row r="16" spans="1:3" ht="45" customHeight="1">
      <c r="A16" s="38">
        <v>13</v>
      </c>
      <c r="B16" s="21" t="s">
        <v>687</v>
      </c>
      <c r="C16" s="20"/>
    </row>
    <row r="17" spans="1:3" ht="30" customHeight="1">
      <c r="A17" s="48" t="s">
        <v>629</v>
      </c>
      <c r="B17" s="21" t="s">
        <v>630</v>
      </c>
      <c r="C17" s="18" t="s">
        <v>638</v>
      </c>
    </row>
    <row r="18" spans="1:3" ht="66.75" customHeight="1">
      <c r="A18" s="19">
        <v>1</v>
      </c>
      <c r="B18" s="22" t="s">
        <v>688</v>
      </c>
      <c r="C18" s="20"/>
    </row>
    <row r="19" spans="1:3" ht="66.75" customHeight="1">
      <c r="A19" s="19">
        <v>2</v>
      </c>
      <c r="B19" s="22" t="s">
        <v>689</v>
      </c>
      <c r="C19" s="20"/>
    </row>
    <row r="20" spans="1:3">
      <c r="A20" s="23"/>
    </row>
    <row r="21" spans="1:3" ht="66.75" customHeight="1">
      <c r="A21" s="33"/>
      <c r="C21" s="34"/>
    </row>
    <row r="22" spans="1:3" ht="66.75" customHeight="1">
      <c r="A22" s="35"/>
      <c r="B22" s="36"/>
      <c r="C22" s="37"/>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C1000"/>
  <sheetViews>
    <sheetView workbookViewId="0"/>
  </sheetViews>
  <sheetFormatPr defaultColWidth="11.25" defaultRowHeight="15" customHeight="1"/>
  <cols>
    <col min="1" max="1" width="8.375" customWidth="1"/>
    <col min="2" max="2" width="53.375" customWidth="1"/>
    <col min="3" max="3" width="18.375" customWidth="1"/>
    <col min="4" max="6" width="8.75" customWidth="1"/>
    <col min="7" max="26" width="10" customWidth="1"/>
  </cols>
  <sheetData>
    <row r="1" spans="1:3" ht="63" customHeight="1">
      <c r="A1" s="83" t="s">
        <v>671</v>
      </c>
      <c r="B1" s="84"/>
      <c r="C1" s="85"/>
    </row>
    <row r="2" spans="1:3" ht="30" customHeight="1">
      <c r="A2" s="86" t="s">
        <v>690</v>
      </c>
      <c r="B2" s="81"/>
      <c r="C2" s="82"/>
    </row>
    <row r="3" spans="1:3" ht="30" customHeight="1">
      <c r="A3" s="16" t="s">
        <v>625</v>
      </c>
      <c r="B3" s="17" t="s">
        <v>587</v>
      </c>
      <c r="C3" s="18" t="s">
        <v>627</v>
      </c>
    </row>
    <row r="4" spans="1:3" ht="64.5" customHeight="1">
      <c r="A4" s="19">
        <v>1</v>
      </c>
      <c r="B4" s="22" t="s">
        <v>691</v>
      </c>
      <c r="C4" s="20"/>
    </row>
    <row r="5" spans="1:3">
      <c r="A5" s="19"/>
      <c r="B5" s="15"/>
      <c r="C5" s="20"/>
    </row>
    <row r="6" spans="1:3">
      <c r="A6" s="19"/>
      <c r="C6" s="20"/>
    </row>
    <row r="7" spans="1:3">
      <c r="A7" s="19"/>
      <c r="B7" s="15"/>
      <c r="C7" s="20"/>
    </row>
    <row r="8" spans="1:3">
      <c r="A8" s="19"/>
      <c r="B8" s="15"/>
      <c r="C8" s="20"/>
    </row>
    <row r="9" spans="1:3">
      <c r="A9" s="19"/>
      <c r="B9" s="15"/>
      <c r="C9" s="20"/>
    </row>
    <row r="10" spans="1:3">
      <c r="A10" s="19"/>
      <c r="B10" s="15"/>
      <c r="C10" s="20"/>
    </row>
    <row r="11" spans="1:3">
      <c r="A11" s="19"/>
      <c r="B11" s="15"/>
      <c r="C11" s="20"/>
    </row>
    <row r="12" spans="1:3">
      <c r="A12" s="19"/>
      <c r="B12" s="15"/>
      <c r="C12" s="20"/>
    </row>
    <row r="13" spans="1:3">
      <c r="A13" s="19"/>
      <c r="B13" s="15"/>
      <c r="C13" s="20"/>
    </row>
    <row r="14" spans="1:3">
      <c r="A14" s="19"/>
      <c r="B14" s="51"/>
      <c r="C14" s="20"/>
    </row>
    <row r="15" spans="1:3">
      <c r="A15" s="19"/>
      <c r="B15" s="15"/>
      <c r="C15" s="20"/>
    </row>
    <row r="16" spans="1:3">
      <c r="A16" s="38"/>
      <c r="B16" s="51"/>
      <c r="C16" s="20"/>
    </row>
    <row r="17" spans="1:3" ht="30" customHeight="1">
      <c r="A17" s="48" t="s">
        <v>629</v>
      </c>
      <c r="B17" s="21" t="s">
        <v>630</v>
      </c>
      <c r="C17" s="18" t="s">
        <v>638</v>
      </c>
    </row>
    <row r="18" spans="1:3" ht="66.75" customHeight="1">
      <c r="A18" s="19">
        <v>1</v>
      </c>
      <c r="B18" s="22" t="s">
        <v>692</v>
      </c>
      <c r="C18" s="20"/>
    </row>
    <row r="19" spans="1:3" ht="66.75" customHeight="1">
      <c r="A19" s="19">
        <v>2</v>
      </c>
      <c r="B19" s="22" t="s">
        <v>693</v>
      </c>
      <c r="C19" s="20"/>
    </row>
    <row r="20" spans="1:3">
      <c r="A20" s="23"/>
    </row>
    <row r="21" spans="1:3" ht="66.75" customHeight="1">
      <c r="A21" s="33"/>
      <c r="C21" s="34"/>
    </row>
    <row r="22" spans="1:3" ht="66.75" customHeight="1">
      <c r="A22" s="35"/>
      <c r="B22" s="36"/>
      <c r="C22" s="37"/>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C1000"/>
  <sheetViews>
    <sheetView workbookViewId="0"/>
  </sheetViews>
  <sheetFormatPr defaultColWidth="11.25" defaultRowHeight="15" customHeight="1"/>
  <cols>
    <col min="1" max="1" width="8" customWidth="1"/>
    <col min="2" max="2" width="53.375" customWidth="1"/>
    <col min="3" max="3" width="18.375" customWidth="1"/>
    <col min="4" max="6" width="8.75" customWidth="1"/>
    <col min="7" max="26" width="10" customWidth="1"/>
  </cols>
  <sheetData>
    <row r="1" spans="1:3" ht="61.5" customHeight="1">
      <c r="A1" s="83" t="s">
        <v>671</v>
      </c>
      <c r="B1" s="84"/>
      <c r="C1" s="85"/>
    </row>
    <row r="2" spans="1:3" ht="30.75" customHeight="1">
      <c r="A2" s="86" t="s">
        <v>694</v>
      </c>
      <c r="B2" s="81"/>
      <c r="C2" s="82"/>
    </row>
    <row r="3" spans="1:3" ht="30" customHeight="1">
      <c r="A3" s="16" t="s">
        <v>625</v>
      </c>
      <c r="B3" s="17" t="s">
        <v>587</v>
      </c>
      <c r="C3" s="18" t="s">
        <v>627</v>
      </c>
    </row>
    <row r="4" spans="1:3" ht="51.75" customHeight="1">
      <c r="A4" s="19"/>
      <c r="B4" s="22" t="s">
        <v>695</v>
      </c>
      <c r="C4" s="20"/>
    </row>
    <row r="5" spans="1:3">
      <c r="A5" s="19"/>
      <c r="B5" s="15"/>
      <c r="C5" s="20"/>
    </row>
    <row r="6" spans="1:3">
      <c r="A6" s="19"/>
      <c r="C6" s="20"/>
    </row>
    <row r="7" spans="1:3">
      <c r="A7" s="19"/>
      <c r="B7" s="15"/>
      <c r="C7" s="20"/>
    </row>
    <row r="8" spans="1:3">
      <c r="A8" s="19"/>
      <c r="B8" s="15"/>
      <c r="C8" s="20"/>
    </row>
    <row r="9" spans="1:3">
      <c r="A9" s="19"/>
      <c r="B9" s="15"/>
      <c r="C9" s="20"/>
    </row>
    <row r="10" spans="1:3">
      <c r="A10" s="19"/>
      <c r="B10" s="15"/>
      <c r="C10" s="20"/>
    </row>
    <row r="11" spans="1:3">
      <c r="A11" s="19"/>
      <c r="B11" s="15"/>
      <c r="C11" s="20"/>
    </row>
    <row r="12" spans="1:3">
      <c r="A12" s="19"/>
      <c r="B12" s="15"/>
      <c r="C12" s="20"/>
    </row>
    <row r="13" spans="1:3">
      <c r="A13" s="19"/>
      <c r="B13" s="15"/>
      <c r="C13" s="20"/>
    </row>
    <row r="14" spans="1:3">
      <c r="A14" s="19"/>
      <c r="B14" s="51"/>
      <c r="C14" s="20"/>
    </row>
    <row r="15" spans="1:3">
      <c r="A15" s="19"/>
      <c r="B15" s="15"/>
      <c r="C15" s="20"/>
    </row>
    <row r="16" spans="1:3">
      <c r="A16" s="38"/>
      <c r="B16" s="51"/>
      <c r="C16" s="20"/>
    </row>
    <row r="17" spans="1:3" ht="30" customHeight="1">
      <c r="A17" s="48" t="s">
        <v>629</v>
      </c>
      <c r="B17" s="21" t="s">
        <v>630</v>
      </c>
      <c r="C17" s="18" t="s">
        <v>638</v>
      </c>
    </row>
    <row r="18" spans="1:3" ht="66.75" customHeight="1">
      <c r="A18" s="19">
        <v>1</v>
      </c>
      <c r="B18" s="22" t="s">
        <v>696</v>
      </c>
      <c r="C18" s="20"/>
    </row>
    <row r="19" spans="1:3" ht="66.75" customHeight="1">
      <c r="A19" s="19">
        <v>2</v>
      </c>
      <c r="B19" s="22" t="s">
        <v>697</v>
      </c>
      <c r="C19" s="20"/>
    </row>
    <row r="20" spans="1:3">
      <c r="A20" s="23"/>
    </row>
    <row r="21" spans="1:3" ht="66.75" customHeight="1">
      <c r="A21" s="33"/>
      <c r="C21" s="34"/>
    </row>
    <row r="22" spans="1:3" ht="66.75" customHeight="1">
      <c r="A22" s="35"/>
      <c r="B22" s="36"/>
      <c r="C22" s="37"/>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C1000"/>
  <sheetViews>
    <sheetView workbookViewId="0"/>
  </sheetViews>
  <sheetFormatPr defaultColWidth="11.25" defaultRowHeight="15" customHeight="1"/>
  <cols>
    <col min="1" max="1" width="10.125" customWidth="1"/>
    <col min="2" max="2" width="53.375" customWidth="1"/>
    <col min="3" max="3" width="18.375" customWidth="1"/>
    <col min="4" max="6" width="8.75" customWidth="1"/>
    <col min="7" max="26" width="10" customWidth="1"/>
  </cols>
  <sheetData>
    <row r="1" spans="1:3" ht="61.5" customHeight="1">
      <c r="A1" s="83" t="s">
        <v>671</v>
      </c>
      <c r="B1" s="84"/>
      <c r="C1" s="85"/>
    </row>
    <row r="2" spans="1:3" ht="30.75" customHeight="1">
      <c r="A2" s="86" t="s">
        <v>698</v>
      </c>
      <c r="B2" s="81"/>
      <c r="C2" s="82"/>
    </row>
    <row r="3" spans="1:3" ht="30" customHeight="1">
      <c r="A3" s="16" t="s">
        <v>625</v>
      </c>
      <c r="B3" s="17" t="s">
        <v>587</v>
      </c>
      <c r="C3" s="18" t="s">
        <v>627</v>
      </c>
    </row>
    <row r="4" spans="1:3" ht="51.75" customHeight="1">
      <c r="A4" s="19"/>
      <c r="B4" s="22" t="s">
        <v>699</v>
      </c>
      <c r="C4" s="20"/>
    </row>
    <row r="5" spans="1:3" ht="30" customHeight="1">
      <c r="A5" s="48" t="s">
        <v>629</v>
      </c>
      <c r="B5" s="21" t="s">
        <v>630</v>
      </c>
      <c r="C5" s="18" t="s">
        <v>638</v>
      </c>
    </row>
    <row r="6" spans="1:3" ht="66.75" customHeight="1">
      <c r="A6" s="19">
        <v>1</v>
      </c>
      <c r="B6" s="22" t="s">
        <v>700</v>
      </c>
      <c r="C6" s="20"/>
    </row>
    <row r="7" spans="1:3" ht="66.75" customHeight="1">
      <c r="A7" s="19">
        <v>2</v>
      </c>
      <c r="B7" s="22" t="s">
        <v>701</v>
      </c>
      <c r="C7" s="20"/>
    </row>
    <row r="8" spans="1:3" ht="78.75" customHeight="1">
      <c r="A8" s="23">
        <v>3</v>
      </c>
      <c r="B8" s="22" t="s">
        <v>702</v>
      </c>
      <c r="C8" s="12"/>
    </row>
    <row r="9" spans="1:3" ht="66.75" customHeight="1">
      <c r="A9" s="33"/>
      <c r="C9" s="34"/>
    </row>
    <row r="10" spans="1:3" ht="66.75" customHeight="1">
      <c r="A10" s="35"/>
      <c r="B10" s="36"/>
      <c r="C10" s="37"/>
    </row>
    <row r="11" spans="1:3">
      <c r="A11" s="23"/>
    </row>
    <row r="12" spans="1:3">
      <c r="A12" s="23"/>
    </row>
    <row r="13" spans="1:3">
      <c r="A13" s="23"/>
    </row>
    <row r="14" spans="1:3">
      <c r="A14" s="23"/>
    </row>
    <row r="15" spans="1:3">
      <c r="A15" s="23"/>
    </row>
    <row r="16" spans="1:3">
      <c r="A16" s="23"/>
    </row>
    <row r="17" spans="1:1">
      <c r="A17" s="23"/>
    </row>
    <row r="18" spans="1:1">
      <c r="A18" s="23"/>
    </row>
    <row r="19" spans="1:1">
      <c r="A19" s="23"/>
    </row>
    <row r="20" spans="1:1">
      <c r="A20" s="23"/>
    </row>
    <row r="21" spans="1:1" ht="15.75" customHeight="1">
      <c r="A21" s="23"/>
    </row>
    <row r="22" spans="1:1" ht="15.75" customHeight="1">
      <c r="A22" s="23"/>
    </row>
    <row r="23" spans="1:1" ht="15.75" customHeight="1">
      <c r="A23" s="23"/>
    </row>
    <row r="24" spans="1:1" ht="15.75" customHeight="1">
      <c r="A24" s="23"/>
    </row>
    <row r="25" spans="1:1" ht="15.75" customHeight="1">
      <c r="A25" s="23"/>
    </row>
    <row r="26" spans="1:1" ht="15.75" customHeight="1">
      <c r="A26" s="23"/>
    </row>
    <row r="27" spans="1:1" ht="15.75" customHeight="1">
      <c r="A27" s="23"/>
    </row>
    <row r="28" spans="1:1" ht="15.75" customHeight="1">
      <c r="A28" s="23"/>
    </row>
    <row r="29" spans="1:1" ht="15.75" customHeight="1">
      <c r="A29" s="23"/>
    </row>
    <row r="30" spans="1:1" ht="15.75" customHeight="1">
      <c r="A30" s="23"/>
    </row>
    <row r="31" spans="1:1" ht="15.75" customHeight="1">
      <c r="A31" s="23"/>
    </row>
    <row r="32" spans="1:1"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2">
    <mergeCell ref="A1:C1"/>
    <mergeCell ref="A2:C2"/>
  </mergeCells>
  <pageMargins left="0.7" right="0.7" top="0.75" bottom="0.75" header="0" footer="0"/>
  <pageSetup orientation="landscape"/>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C1000"/>
  <sheetViews>
    <sheetView workbookViewId="0"/>
  </sheetViews>
  <sheetFormatPr defaultColWidth="11.25" defaultRowHeight="15" customHeight="1"/>
  <cols>
    <col min="1" max="1" width="7.75" customWidth="1"/>
    <col min="2" max="2" width="53.375" customWidth="1"/>
    <col min="3" max="3" width="18.375" customWidth="1"/>
    <col min="4" max="6" width="8.75" customWidth="1"/>
    <col min="7" max="26" width="10" customWidth="1"/>
  </cols>
  <sheetData>
    <row r="1" spans="1:3" ht="63.75" customHeight="1">
      <c r="A1" s="83" t="s">
        <v>671</v>
      </c>
      <c r="B1" s="84"/>
      <c r="C1" s="85"/>
    </row>
    <row r="2" spans="1:3" ht="30.75" customHeight="1">
      <c r="A2" s="86" t="s">
        <v>703</v>
      </c>
      <c r="B2" s="81"/>
      <c r="C2" s="82"/>
    </row>
    <row r="3" spans="1:3" ht="30" customHeight="1">
      <c r="A3" s="16" t="s">
        <v>625</v>
      </c>
      <c r="B3" s="17" t="s">
        <v>587</v>
      </c>
      <c r="C3" s="18" t="s">
        <v>627</v>
      </c>
    </row>
    <row r="4" spans="1:3" ht="39" customHeight="1">
      <c r="A4" s="19"/>
      <c r="B4" s="22" t="s">
        <v>704</v>
      </c>
      <c r="C4" s="20"/>
    </row>
    <row r="5" spans="1:3">
      <c r="A5" s="19"/>
      <c r="B5" s="15"/>
      <c r="C5" s="20"/>
    </row>
    <row r="6" spans="1:3">
      <c r="A6" s="19"/>
      <c r="C6" s="20"/>
    </row>
    <row r="7" spans="1:3">
      <c r="A7" s="19"/>
      <c r="B7" s="15"/>
      <c r="C7" s="20"/>
    </row>
    <row r="8" spans="1:3">
      <c r="A8" s="19"/>
      <c r="B8" s="15"/>
      <c r="C8" s="20"/>
    </row>
    <row r="9" spans="1:3">
      <c r="A9" s="19"/>
      <c r="B9" s="15"/>
      <c r="C9" s="20"/>
    </row>
    <row r="10" spans="1:3">
      <c r="A10" s="19"/>
      <c r="B10" s="15"/>
      <c r="C10" s="20"/>
    </row>
    <row r="11" spans="1:3">
      <c r="A11" s="19"/>
      <c r="B11" s="15"/>
      <c r="C11" s="20"/>
    </row>
    <row r="12" spans="1:3">
      <c r="A12" s="19"/>
      <c r="B12" s="15"/>
      <c r="C12" s="20"/>
    </row>
    <row r="13" spans="1:3">
      <c r="A13" s="19"/>
      <c r="B13" s="15"/>
      <c r="C13" s="20"/>
    </row>
    <row r="14" spans="1:3">
      <c r="A14" s="19"/>
      <c r="B14" s="51"/>
      <c r="C14" s="20"/>
    </row>
    <row r="15" spans="1:3">
      <c r="A15" s="19"/>
      <c r="B15" s="15"/>
      <c r="C15" s="20"/>
    </row>
    <row r="16" spans="1:3">
      <c r="A16" s="38"/>
      <c r="B16" s="51"/>
      <c r="C16" s="20"/>
    </row>
    <row r="17" spans="1:3" ht="30" customHeight="1">
      <c r="A17" s="48" t="s">
        <v>629</v>
      </c>
      <c r="B17" s="21" t="s">
        <v>630</v>
      </c>
      <c r="C17" s="18" t="s">
        <v>638</v>
      </c>
    </row>
    <row r="18" spans="1:3" ht="66.75" customHeight="1">
      <c r="A18" s="24">
        <v>1</v>
      </c>
      <c r="B18" s="22" t="s">
        <v>705</v>
      </c>
      <c r="C18" s="15"/>
    </row>
    <row r="19" spans="1:3" ht="66.75" customHeight="1">
      <c r="A19" s="88" t="s">
        <v>706</v>
      </c>
      <c r="B19" s="89"/>
      <c r="C19" s="90"/>
    </row>
    <row r="20" spans="1:3" ht="78.75" customHeight="1">
      <c r="A20" s="24"/>
      <c r="B20" s="22"/>
      <c r="C20" s="15"/>
    </row>
    <row r="21" spans="1:3" ht="66.75" customHeight="1">
      <c r="A21" s="33"/>
      <c r="C21" s="34"/>
    </row>
    <row r="22" spans="1:3" ht="66.75" customHeight="1">
      <c r="A22" s="35"/>
      <c r="B22" s="36"/>
      <c r="C22" s="37"/>
    </row>
    <row r="23" spans="1:3" ht="15.75" customHeight="1">
      <c r="A23" s="23"/>
    </row>
    <row r="24" spans="1:3" ht="15.75" customHeight="1">
      <c r="A24" s="23"/>
    </row>
    <row r="25" spans="1:3" ht="15.75" customHeight="1">
      <c r="A25" s="23"/>
    </row>
    <row r="26" spans="1:3" ht="15.75" customHeight="1">
      <c r="A26" s="23"/>
    </row>
    <row r="27" spans="1:3" ht="15.75" customHeight="1">
      <c r="A27" s="23"/>
    </row>
    <row r="28" spans="1:3" ht="15.75" customHeight="1">
      <c r="A28" s="23"/>
    </row>
    <row r="29" spans="1:3" ht="15.75" customHeight="1">
      <c r="A29" s="23"/>
    </row>
    <row r="30" spans="1:3" ht="15.75" customHeight="1">
      <c r="A30" s="23"/>
    </row>
    <row r="31" spans="1:3" ht="15.75" customHeight="1">
      <c r="A31" s="23"/>
    </row>
    <row r="32" spans="1:3" ht="15.75" customHeight="1">
      <c r="A32" s="23"/>
    </row>
    <row r="33" spans="1:1" ht="15.75" customHeight="1">
      <c r="A33" s="23"/>
    </row>
    <row r="34" spans="1:1" ht="15.75" customHeight="1">
      <c r="A34" s="23"/>
    </row>
    <row r="35" spans="1:1" ht="15.75" customHeight="1">
      <c r="A35" s="23"/>
    </row>
    <row r="36" spans="1:1" ht="15.75" customHeight="1">
      <c r="A36" s="23"/>
    </row>
    <row r="37" spans="1:1" ht="15.75" customHeight="1">
      <c r="A37" s="23"/>
    </row>
    <row r="38" spans="1:1" ht="15.75" customHeight="1">
      <c r="A38" s="23"/>
    </row>
    <row r="39" spans="1:1" ht="15.75" customHeight="1">
      <c r="A39" s="23"/>
    </row>
    <row r="40" spans="1:1" ht="15.75" customHeight="1">
      <c r="A40" s="23"/>
    </row>
    <row r="41" spans="1:1" ht="15.75" customHeight="1">
      <c r="A41" s="23"/>
    </row>
    <row r="42" spans="1:1" ht="15.75" customHeight="1">
      <c r="A42" s="23"/>
    </row>
    <row r="43" spans="1:1" ht="15.75" customHeight="1">
      <c r="A43" s="23"/>
    </row>
    <row r="44" spans="1:1" ht="15.75" customHeight="1">
      <c r="A44" s="23"/>
    </row>
    <row r="45" spans="1:1" ht="15.75" customHeight="1">
      <c r="A45" s="23"/>
    </row>
    <row r="46" spans="1:1" ht="15.75" customHeight="1">
      <c r="A46" s="23"/>
    </row>
    <row r="47" spans="1:1" ht="15.75" customHeight="1">
      <c r="A47" s="23"/>
    </row>
    <row r="48" spans="1:1" ht="15.75" customHeight="1">
      <c r="A48" s="23"/>
    </row>
    <row r="49" spans="1:1" ht="15.75" customHeight="1">
      <c r="A49" s="23"/>
    </row>
    <row r="50" spans="1:1" ht="15.75" customHeight="1">
      <c r="A50" s="23"/>
    </row>
    <row r="51" spans="1:1" ht="15.75" customHeight="1">
      <c r="A51" s="23"/>
    </row>
    <row r="52" spans="1:1" ht="15.75" customHeight="1">
      <c r="A52" s="23"/>
    </row>
    <row r="53" spans="1:1" ht="15.75" customHeight="1">
      <c r="A53" s="23"/>
    </row>
    <row r="54" spans="1:1" ht="15.75" customHeight="1">
      <c r="A54" s="23"/>
    </row>
    <row r="55" spans="1:1" ht="15.75" customHeight="1">
      <c r="A55" s="23"/>
    </row>
    <row r="56" spans="1:1" ht="15.75" customHeight="1">
      <c r="A56" s="23"/>
    </row>
    <row r="57" spans="1:1" ht="15.75" customHeight="1">
      <c r="A57" s="23"/>
    </row>
    <row r="58" spans="1:1" ht="15.75" customHeight="1">
      <c r="A58" s="23"/>
    </row>
    <row r="59" spans="1:1" ht="15.75" customHeight="1">
      <c r="A59" s="23"/>
    </row>
    <row r="60" spans="1:1" ht="15.75" customHeight="1">
      <c r="A60" s="23"/>
    </row>
    <row r="61" spans="1:1" ht="15.75" customHeight="1">
      <c r="A61" s="23"/>
    </row>
    <row r="62" spans="1:1" ht="15.75" customHeight="1">
      <c r="A62" s="23"/>
    </row>
    <row r="63" spans="1:1" ht="15.75" customHeight="1">
      <c r="A63" s="23"/>
    </row>
    <row r="64" spans="1:1" ht="15.75" customHeight="1">
      <c r="A64" s="23"/>
    </row>
    <row r="65" spans="1:1" ht="15.75" customHeight="1">
      <c r="A65" s="23"/>
    </row>
    <row r="66" spans="1:1" ht="15.75" customHeight="1">
      <c r="A66" s="23"/>
    </row>
    <row r="67" spans="1:1" ht="15.75" customHeight="1">
      <c r="A67" s="23"/>
    </row>
    <row r="68" spans="1:1" ht="15.75" customHeight="1">
      <c r="A68" s="23"/>
    </row>
    <row r="69" spans="1:1" ht="15.75" customHeight="1">
      <c r="A69" s="23"/>
    </row>
    <row r="70" spans="1:1" ht="15.75" customHeight="1">
      <c r="A70" s="23"/>
    </row>
    <row r="71" spans="1:1" ht="15.75" customHeight="1">
      <c r="A71" s="23"/>
    </row>
    <row r="72" spans="1:1" ht="15.75" customHeight="1">
      <c r="A72" s="23"/>
    </row>
    <row r="73" spans="1:1" ht="15.75" customHeight="1">
      <c r="A73" s="23"/>
    </row>
    <row r="74" spans="1:1" ht="15.75" customHeight="1">
      <c r="A74" s="23"/>
    </row>
    <row r="75" spans="1:1" ht="15.75" customHeight="1">
      <c r="A75" s="23"/>
    </row>
    <row r="76" spans="1:1" ht="15.75" customHeight="1">
      <c r="A76" s="23"/>
    </row>
    <row r="77" spans="1:1" ht="15.75" customHeight="1">
      <c r="A77" s="23"/>
    </row>
    <row r="78" spans="1:1" ht="15.75" customHeight="1">
      <c r="A78" s="23"/>
    </row>
    <row r="79" spans="1:1" ht="15.75" customHeight="1">
      <c r="A79" s="23"/>
    </row>
    <row r="80" spans="1:1" ht="15.75" customHeight="1">
      <c r="A80" s="23"/>
    </row>
    <row r="81" spans="1:1" ht="15.75" customHeight="1">
      <c r="A81" s="23"/>
    </row>
    <row r="82" spans="1:1" ht="15.75" customHeight="1">
      <c r="A82" s="23"/>
    </row>
    <row r="83" spans="1:1" ht="15.75" customHeight="1">
      <c r="A83" s="23"/>
    </row>
    <row r="84" spans="1:1" ht="15.75" customHeight="1">
      <c r="A84" s="23"/>
    </row>
    <row r="85" spans="1:1" ht="15.75" customHeight="1">
      <c r="A85" s="23"/>
    </row>
    <row r="86" spans="1:1" ht="15.75" customHeight="1">
      <c r="A86" s="23"/>
    </row>
    <row r="87" spans="1:1" ht="15.75" customHeight="1">
      <c r="A87" s="23"/>
    </row>
    <row r="88" spans="1:1" ht="15.75" customHeight="1">
      <c r="A88" s="23"/>
    </row>
    <row r="89" spans="1:1" ht="15.75" customHeight="1">
      <c r="A89" s="23"/>
    </row>
    <row r="90" spans="1:1" ht="15.75" customHeight="1">
      <c r="A90" s="23"/>
    </row>
    <row r="91" spans="1:1" ht="15.75" customHeight="1">
      <c r="A91" s="23"/>
    </row>
    <row r="92" spans="1:1" ht="15.75" customHeight="1">
      <c r="A92" s="23"/>
    </row>
    <row r="93" spans="1:1" ht="15.75" customHeight="1">
      <c r="A93" s="23"/>
    </row>
    <row r="94" spans="1:1" ht="15.75" customHeight="1">
      <c r="A94" s="23"/>
    </row>
    <row r="95" spans="1:1" ht="15.75" customHeight="1">
      <c r="A95" s="23"/>
    </row>
    <row r="96" spans="1:1" ht="15.75" customHeight="1">
      <c r="A96" s="23"/>
    </row>
    <row r="97" spans="1:1" ht="15.75" customHeight="1">
      <c r="A97" s="23"/>
    </row>
    <row r="98" spans="1:1" ht="15.75" customHeight="1">
      <c r="A98" s="23"/>
    </row>
    <row r="99" spans="1:1" ht="15.75" customHeight="1">
      <c r="A99" s="23"/>
    </row>
    <row r="100" spans="1:1" ht="15.75" customHeight="1">
      <c r="A100" s="23"/>
    </row>
    <row r="101" spans="1:1" ht="15.75" customHeight="1">
      <c r="A101" s="23"/>
    </row>
    <row r="102" spans="1:1" ht="15.75" customHeight="1">
      <c r="A102" s="23"/>
    </row>
    <row r="103" spans="1:1" ht="15.75" customHeight="1">
      <c r="A103" s="23"/>
    </row>
    <row r="104" spans="1:1" ht="15.75" customHeight="1">
      <c r="A104" s="23"/>
    </row>
    <row r="105" spans="1:1" ht="15.75" customHeight="1">
      <c r="A105" s="23"/>
    </row>
    <row r="106" spans="1:1" ht="15.75" customHeight="1">
      <c r="A106" s="23"/>
    </row>
    <row r="107" spans="1:1" ht="15.75" customHeight="1">
      <c r="A107" s="23"/>
    </row>
    <row r="108" spans="1:1" ht="15.75" customHeight="1">
      <c r="A108" s="23"/>
    </row>
    <row r="109" spans="1:1" ht="15.75" customHeight="1">
      <c r="A109" s="23"/>
    </row>
    <row r="110" spans="1:1" ht="15.75" customHeight="1">
      <c r="A110" s="23"/>
    </row>
    <row r="111" spans="1:1" ht="15.75" customHeight="1">
      <c r="A111" s="23"/>
    </row>
    <row r="112" spans="1:1" ht="15.75" customHeight="1">
      <c r="A112" s="23"/>
    </row>
    <row r="113" spans="1:1" ht="15.75" customHeight="1">
      <c r="A113" s="23"/>
    </row>
    <row r="114" spans="1:1" ht="15.75" customHeight="1">
      <c r="A114" s="23"/>
    </row>
    <row r="115" spans="1:1" ht="15.75" customHeight="1">
      <c r="A115" s="23"/>
    </row>
    <row r="116" spans="1:1" ht="15.75" customHeight="1">
      <c r="A116" s="23"/>
    </row>
    <row r="117" spans="1:1" ht="15.75" customHeight="1">
      <c r="A117" s="23"/>
    </row>
    <row r="118" spans="1:1" ht="15.75" customHeight="1">
      <c r="A118" s="23"/>
    </row>
    <row r="119" spans="1:1" ht="15.75" customHeight="1">
      <c r="A119" s="23"/>
    </row>
    <row r="120" spans="1:1" ht="15.75" customHeight="1">
      <c r="A120" s="23"/>
    </row>
    <row r="121" spans="1:1" ht="15.75" customHeight="1">
      <c r="A121" s="23"/>
    </row>
    <row r="122" spans="1:1" ht="15.75" customHeight="1">
      <c r="A122" s="23"/>
    </row>
    <row r="123" spans="1:1" ht="15.75" customHeight="1">
      <c r="A123" s="23"/>
    </row>
    <row r="124" spans="1:1" ht="15.75" customHeight="1">
      <c r="A124" s="23"/>
    </row>
    <row r="125" spans="1:1" ht="15.75" customHeight="1">
      <c r="A125" s="23"/>
    </row>
    <row r="126" spans="1:1" ht="15.75" customHeight="1">
      <c r="A126" s="23"/>
    </row>
    <row r="127" spans="1:1" ht="15.75" customHeight="1">
      <c r="A127" s="23"/>
    </row>
    <row r="128" spans="1:1" ht="15.75" customHeight="1">
      <c r="A128" s="23"/>
    </row>
    <row r="129" spans="1:1" ht="15.75" customHeight="1">
      <c r="A129" s="23"/>
    </row>
    <row r="130" spans="1:1" ht="15.75" customHeight="1">
      <c r="A130" s="23"/>
    </row>
    <row r="131" spans="1:1" ht="15.75" customHeight="1">
      <c r="A131" s="23"/>
    </row>
    <row r="132" spans="1:1" ht="15.75" customHeight="1">
      <c r="A132" s="23"/>
    </row>
    <row r="133" spans="1:1" ht="15.75" customHeight="1">
      <c r="A133" s="23"/>
    </row>
    <row r="134" spans="1:1" ht="15.75" customHeight="1">
      <c r="A134" s="23"/>
    </row>
    <row r="135" spans="1:1" ht="15.75" customHeight="1">
      <c r="A135" s="23"/>
    </row>
    <row r="136" spans="1:1" ht="15.75" customHeight="1">
      <c r="A136" s="23"/>
    </row>
    <row r="137" spans="1:1" ht="15.75" customHeight="1">
      <c r="A137" s="23"/>
    </row>
    <row r="138" spans="1:1" ht="15.75" customHeight="1">
      <c r="A138" s="23"/>
    </row>
    <row r="139" spans="1:1" ht="15.75" customHeight="1">
      <c r="A139" s="23"/>
    </row>
    <row r="140" spans="1:1" ht="15.75" customHeight="1">
      <c r="A140" s="23"/>
    </row>
    <row r="141" spans="1:1" ht="15.75" customHeight="1">
      <c r="A141" s="23"/>
    </row>
    <row r="142" spans="1:1" ht="15.75" customHeight="1">
      <c r="A142" s="23"/>
    </row>
    <row r="143" spans="1:1" ht="15.75" customHeight="1">
      <c r="A143" s="23"/>
    </row>
    <row r="144" spans="1:1" ht="15.75" customHeight="1">
      <c r="A144" s="23"/>
    </row>
    <row r="145" spans="1:1" ht="15.75" customHeight="1">
      <c r="A145" s="23"/>
    </row>
    <row r="146" spans="1:1" ht="15.75" customHeight="1">
      <c r="A146" s="23"/>
    </row>
    <row r="147" spans="1:1" ht="15.75" customHeight="1">
      <c r="A147" s="23"/>
    </row>
    <row r="148" spans="1:1" ht="15.75" customHeight="1">
      <c r="A148" s="23"/>
    </row>
    <row r="149" spans="1:1" ht="15.75" customHeight="1">
      <c r="A149" s="23"/>
    </row>
    <row r="150" spans="1:1" ht="15.75" customHeight="1">
      <c r="A150" s="23"/>
    </row>
    <row r="151" spans="1:1" ht="15.75" customHeight="1">
      <c r="A151" s="23"/>
    </row>
    <row r="152" spans="1:1" ht="15.75" customHeight="1">
      <c r="A152" s="23"/>
    </row>
    <row r="153" spans="1:1" ht="15.75" customHeight="1">
      <c r="A153" s="23"/>
    </row>
    <row r="154" spans="1:1" ht="15.75" customHeight="1">
      <c r="A154" s="23"/>
    </row>
    <row r="155" spans="1:1" ht="15.75" customHeight="1">
      <c r="A155" s="23"/>
    </row>
    <row r="156" spans="1:1" ht="15.75" customHeight="1">
      <c r="A156" s="23"/>
    </row>
    <row r="157" spans="1:1" ht="15.75" customHeight="1">
      <c r="A157" s="23"/>
    </row>
    <row r="158" spans="1:1" ht="15.75" customHeight="1">
      <c r="A158" s="23"/>
    </row>
    <row r="159" spans="1:1" ht="15.75" customHeight="1">
      <c r="A159" s="23"/>
    </row>
    <row r="160" spans="1:1" ht="15.75" customHeight="1">
      <c r="A160" s="23"/>
    </row>
    <row r="161" spans="1:1" ht="15.75" customHeight="1">
      <c r="A161" s="23"/>
    </row>
    <row r="162" spans="1:1" ht="15.75" customHeight="1">
      <c r="A162" s="23"/>
    </row>
    <row r="163" spans="1:1" ht="15.75" customHeight="1">
      <c r="A163" s="23"/>
    </row>
    <row r="164" spans="1:1" ht="15.75" customHeight="1">
      <c r="A164" s="23"/>
    </row>
    <row r="165" spans="1:1" ht="15.75" customHeight="1">
      <c r="A165" s="23"/>
    </row>
    <row r="166" spans="1:1" ht="15.75" customHeight="1">
      <c r="A166" s="23"/>
    </row>
    <row r="167" spans="1:1" ht="15.75" customHeight="1">
      <c r="A167" s="23"/>
    </row>
    <row r="168" spans="1:1" ht="15.75" customHeight="1">
      <c r="A168" s="23"/>
    </row>
    <row r="169" spans="1:1" ht="15.75" customHeight="1">
      <c r="A169" s="23"/>
    </row>
    <row r="170" spans="1:1" ht="15.75" customHeight="1">
      <c r="A170" s="23"/>
    </row>
    <row r="171" spans="1:1" ht="15.75" customHeight="1">
      <c r="A171" s="23"/>
    </row>
    <row r="172" spans="1:1" ht="15.75" customHeight="1">
      <c r="A172" s="23"/>
    </row>
    <row r="173" spans="1:1" ht="15.75" customHeight="1">
      <c r="A173" s="23"/>
    </row>
    <row r="174" spans="1:1" ht="15.75" customHeight="1">
      <c r="A174" s="23"/>
    </row>
    <row r="175" spans="1:1" ht="15.75" customHeight="1">
      <c r="A175" s="23"/>
    </row>
    <row r="176" spans="1:1" ht="15.75" customHeight="1">
      <c r="A176" s="23"/>
    </row>
    <row r="177" spans="1:1" ht="15.75" customHeight="1">
      <c r="A177" s="23"/>
    </row>
    <row r="178" spans="1:1" ht="15.75" customHeight="1">
      <c r="A178" s="23"/>
    </row>
    <row r="179" spans="1:1" ht="15.75" customHeight="1">
      <c r="A179" s="23"/>
    </row>
    <row r="180" spans="1:1" ht="15.75" customHeight="1">
      <c r="A180" s="23"/>
    </row>
    <row r="181" spans="1:1" ht="15.75" customHeight="1">
      <c r="A181" s="23"/>
    </row>
    <row r="182" spans="1:1" ht="15.75" customHeight="1">
      <c r="A182" s="23"/>
    </row>
    <row r="183" spans="1:1" ht="15.75" customHeight="1">
      <c r="A183" s="23"/>
    </row>
    <row r="184" spans="1:1" ht="15.75" customHeight="1">
      <c r="A184" s="23"/>
    </row>
    <row r="185" spans="1:1" ht="15.75" customHeight="1">
      <c r="A185" s="23"/>
    </row>
    <row r="186" spans="1:1" ht="15.75" customHeight="1">
      <c r="A186" s="23"/>
    </row>
    <row r="187" spans="1:1" ht="15.75" customHeight="1">
      <c r="A187" s="23"/>
    </row>
    <row r="188" spans="1:1" ht="15.75" customHeight="1">
      <c r="A188" s="23"/>
    </row>
    <row r="189" spans="1:1" ht="15.75" customHeight="1">
      <c r="A189" s="23"/>
    </row>
    <row r="190" spans="1:1" ht="15.75" customHeight="1">
      <c r="A190" s="23"/>
    </row>
    <row r="191" spans="1:1" ht="15.75" customHeight="1">
      <c r="A191" s="23"/>
    </row>
    <row r="192" spans="1:1" ht="15.75" customHeight="1">
      <c r="A192" s="23"/>
    </row>
    <row r="193" spans="1:1" ht="15.75" customHeight="1">
      <c r="A193" s="23"/>
    </row>
    <row r="194" spans="1:1" ht="15.75" customHeight="1">
      <c r="A194" s="23"/>
    </row>
    <row r="195" spans="1:1" ht="15.75" customHeight="1">
      <c r="A195" s="23"/>
    </row>
    <row r="196" spans="1:1" ht="15.75" customHeight="1">
      <c r="A196" s="23"/>
    </row>
    <row r="197" spans="1:1" ht="15.75" customHeight="1">
      <c r="A197" s="23"/>
    </row>
    <row r="198" spans="1:1" ht="15.75" customHeight="1">
      <c r="A198" s="23"/>
    </row>
    <row r="199" spans="1:1" ht="15.75" customHeight="1">
      <c r="A199" s="23"/>
    </row>
    <row r="200" spans="1:1" ht="15.75" customHeight="1">
      <c r="A200" s="23"/>
    </row>
    <row r="201" spans="1:1" ht="15.75" customHeight="1">
      <c r="A201" s="23"/>
    </row>
    <row r="202" spans="1:1" ht="15.75" customHeight="1">
      <c r="A202" s="23"/>
    </row>
    <row r="203" spans="1:1" ht="15.75" customHeight="1">
      <c r="A203" s="23"/>
    </row>
    <row r="204" spans="1:1" ht="15.75" customHeight="1">
      <c r="A204" s="23"/>
    </row>
    <row r="205" spans="1:1" ht="15.75" customHeight="1">
      <c r="A205" s="23"/>
    </row>
    <row r="206" spans="1:1" ht="15.75" customHeight="1">
      <c r="A206" s="23"/>
    </row>
    <row r="207" spans="1:1" ht="15.75" customHeight="1">
      <c r="A207" s="23"/>
    </row>
    <row r="208" spans="1:1" ht="15.75" customHeight="1">
      <c r="A208" s="23"/>
    </row>
    <row r="209" spans="1:1" ht="15.75" customHeight="1">
      <c r="A209" s="23"/>
    </row>
    <row r="210" spans="1:1" ht="15.75" customHeight="1">
      <c r="A210" s="23"/>
    </row>
    <row r="211" spans="1:1" ht="15.75" customHeight="1">
      <c r="A211" s="23"/>
    </row>
    <row r="212" spans="1:1" ht="15.75" customHeight="1">
      <c r="A212" s="23"/>
    </row>
    <row r="213" spans="1:1" ht="15.75" customHeight="1">
      <c r="A213" s="23"/>
    </row>
    <row r="214" spans="1:1" ht="15.75" customHeight="1">
      <c r="A214" s="23"/>
    </row>
    <row r="215" spans="1:1" ht="15.75" customHeight="1">
      <c r="A215" s="23"/>
    </row>
    <row r="216" spans="1:1" ht="15.75" customHeight="1">
      <c r="A216" s="23"/>
    </row>
    <row r="217" spans="1:1" ht="15.75" customHeight="1">
      <c r="A217" s="23"/>
    </row>
    <row r="218" spans="1:1" ht="15.75" customHeight="1">
      <c r="A218" s="23"/>
    </row>
    <row r="219" spans="1:1" ht="15.75" customHeight="1">
      <c r="A219" s="23"/>
    </row>
    <row r="220" spans="1:1" ht="15.75" customHeight="1">
      <c r="A220" s="23"/>
    </row>
    <row r="221" spans="1:1" ht="15.75" customHeight="1">
      <c r="A221" s="23"/>
    </row>
    <row r="222" spans="1:1" ht="15.75" customHeight="1">
      <c r="A222" s="23"/>
    </row>
    <row r="223" spans="1:1" ht="15.75" customHeight="1">
      <c r="A223" s="23"/>
    </row>
    <row r="224" spans="1:1" ht="15.75" customHeight="1">
      <c r="A224" s="23"/>
    </row>
    <row r="225" spans="1:1" ht="15.75" customHeight="1">
      <c r="A225" s="23"/>
    </row>
    <row r="226" spans="1:1" ht="15.75" customHeight="1">
      <c r="A226" s="23"/>
    </row>
    <row r="227" spans="1:1" ht="15.75" customHeight="1">
      <c r="A227" s="23"/>
    </row>
    <row r="228" spans="1:1" ht="15.75" customHeight="1">
      <c r="A228" s="23"/>
    </row>
    <row r="229" spans="1:1" ht="15.75" customHeight="1">
      <c r="A229" s="23"/>
    </row>
    <row r="230" spans="1:1" ht="15.75" customHeight="1">
      <c r="A230" s="23"/>
    </row>
    <row r="231" spans="1:1" ht="15.75" customHeight="1">
      <c r="A231" s="23"/>
    </row>
    <row r="232" spans="1:1" ht="15.75" customHeight="1">
      <c r="A232" s="23"/>
    </row>
    <row r="233" spans="1:1" ht="15.75" customHeight="1">
      <c r="A233" s="23"/>
    </row>
    <row r="234" spans="1:1" ht="15.75" customHeight="1">
      <c r="A234" s="23"/>
    </row>
    <row r="235" spans="1:1" ht="15.75" customHeight="1">
      <c r="A235" s="23"/>
    </row>
    <row r="236" spans="1:1" ht="15.75" customHeight="1">
      <c r="A236" s="23"/>
    </row>
    <row r="237" spans="1:1" ht="15.75" customHeight="1">
      <c r="A237" s="23"/>
    </row>
    <row r="238" spans="1:1" ht="15.75" customHeight="1">
      <c r="A238" s="23"/>
    </row>
    <row r="239" spans="1:1" ht="15.75" customHeight="1">
      <c r="A239" s="23"/>
    </row>
    <row r="240" spans="1:1" ht="15.75" customHeight="1">
      <c r="A240" s="23"/>
    </row>
    <row r="241" spans="1:1" ht="15.75" customHeight="1">
      <c r="A241" s="23"/>
    </row>
    <row r="242" spans="1:1" ht="15.75" customHeight="1">
      <c r="A242" s="23"/>
    </row>
    <row r="243" spans="1:1" ht="15.75" customHeight="1">
      <c r="A243" s="23"/>
    </row>
    <row r="244" spans="1:1" ht="15.75" customHeight="1">
      <c r="A244" s="23"/>
    </row>
    <row r="245" spans="1:1" ht="15.75" customHeight="1">
      <c r="A245" s="23"/>
    </row>
    <row r="246" spans="1:1" ht="15.75" customHeight="1">
      <c r="A246" s="23"/>
    </row>
    <row r="247" spans="1:1" ht="15.75" customHeight="1">
      <c r="A247" s="23"/>
    </row>
    <row r="248" spans="1:1" ht="15.75" customHeight="1">
      <c r="A248" s="23"/>
    </row>
    <row r="249" spans="1:1" ht="15.75" customHeight="1">
      <c r="A249" s="23"/>
    </row>
    <row r="250" spans="1:1" ht="15.75" customHeight="1">
      <c r="A250" s="23"/>
    </row>
    <row r="251" spans="1:1" ht="15.75" customHeight="1">
      <c r="A251" s="23"/>
    </row>
    <row r="252" spans="1:1" ht="15.75" customHeight="1">
      <c r="A252" s="23"/>
    </row>
    <row r="253" spans="1:1" ht="15.75" customHeight="1">
      <c r="A253" s="23"/>
    </row>
    <row r="254" spans="1:1" ht="15.75" customHeight="1">
      <c r="A254" s="23"/>
    </row>
    <row r="255" spans="1:1" ht="15.75" customHeight="1">
      <c r="A255" s="23"/>
    </row>
    <row r="256" spans="1:1" ht="15.75" customHeight="1">
      <c r="A256" s="23"/>
    </row>
    <row r="257" spans="1:1" ht="15.75" customHeight="1">
      <c r="A257" s="23"/>
    </row>
    <row r="258" spans="1:1" ht="15.75" customHeight="1">
      <c r="A258" s="23"/>
    </row>
    <row r="259" spans="1:1" ht="15.75" customHeight="1">
      <c r="A259" s="23"/>
    </row>
    <row r="260" spans="1:1" ht="15.75" customHeight="1">
      <c r="A260" s="23"/>
    </row>
    <row r="261" spans="1:1" ht="15.75" customHeight="1">
      <c r="A261" s="23"/>
    </row>
    <row r="262" spans="1:1" ht="15.75" customHeight="1">
      <c r="A262" s="23"/>
    </row>
    <row r="263" spans="1:1" ht="15.75" customHeight="1">
      <c r="A263" s="23"/>
    </row>
    <row r="264" spans="1:1" ht="15.75" customHeight="1">
      <c r="A264" s="23"/>
    </row>
    <row r="265" spans="1:1" ht="15.75" customHeight="1">
      <c r="A265" s="23"/>
    </row>
    <row r="266" spans="1:1" ht="15.75" customHeight="1">
      <c r="A266" s="23"/>
    </row>
    <row r="267" spans="1:1" ht="15.75" customHeight="1">
      <c r="A267" s="23"/>
    </row>
    <row r="268" spans="1:1" ht="15.75" customHeight="1">
      <c r="A268" s="23"/>
    </row>
    <row r="269" spans="1:1" ht="15.75" customHeight="1">
      <c r="A269" s="23"/>
    </row>
    <row r="270" spans="1:1" ht="15.75" customHeight="1">
      <c r="A270" s="23"/>
    </row>
    <row r="271" spans="1:1" ht="15.75" customHeight="1">
      <c r="A271" s="23"/>
    </row>
    <row r="272" spans="1:1" ht="15.75" customHeight="1">
      <c r="A272" s="23"/>
    </row>
    <row r="273" spans="1:1" ht="15.75" customHeight="1">
      <c r="A273" s="23"/>
    </row>
    <row r="274" spans="1:1" ht="15.75" customHeight="1">
      <c r="A274" s="23"/>
    </row>
    <row r="275" spans="1:1" ht="15.75" customHeight="1">
      <c r="A275" s="23"/>
    </row>
    <row r="276" spans="1:1" ht="15.75" customHeight="1">
      <c r="A276" s="23"/>
    </row>
    <row r="277" spans="1:1" ht="15.75" customHeight="1">
      <c r="A277" s="23"/>
    </row>
    <row r="278" spans="1:1" ht="15.75" customHeight="1">
      <c r="A278" s="23"/>
    </row>
    <row r="279" spans="1:1" ht="15.75" customHeight="1">
      <c r="A279" s="23"/>
    </row>
    <row r="280" spans="1:1" ht="15.75" customHeight="1">
      <c r="A280" s="23"/>
    </row>
    <row r="281" spans="1:1" ht="15.75" customHeight="1">
      <c r="A281" s="23"/>
    </row>
    <row r="282" spans="1:1" ht="15.75" customHeight="1">
      <c r="A282" s="23"/>
    </row>
    <row r="283" spans="1:1" ht="15.75" customHeight="1">
      <c r="A283" s="23"/>
    </row>
    <row r="284" spans="1:1" ht="15.75" customHeight="1">
      <c r="A284" s="23"/>
    </row>
    <row r="285" spans="1:1" ht="15.75" customHeight="1">
      <c r="A285" s="23"/>
    </row>
    <row r="286" spans="1:1" ht="15.75" customHeight="1">
      <c r="A286" s="23"/>
    </row>
    <row r="287" spans="1:1" ht="15.75" customHeight="1">
      <c r="A287" s="23"/>
    </row>
    <row r="288" spans="1:1" ht="15.75" customHeight="1">
      <c r="A288" s="23"/>
    </row>
    <row r="289" spans="1:1" ht="15.75" customHeight="1">
      <c r="A289" s="23"/>
    </row>
    <row r="290" spans="1:1" ht="15.75" customHeight="1">
      <c r="A290" s="23"/>
    </row>
    <row r="291" spans="1:1" ht="15.75" customHeight="1">
      <c r="A291" s="23"/>
    </row>
    <row r="292" spans="1:1" ht="15.75" customHeight="1">
      <c r="A292" s="23"/>
    </row>
    <row r="293" spans="1:1" ht="15.75" customHeight="1">
      <c r="A293" s="23"/>
    </row>
    <row r="294" spans="1:1" ht="15.75" customHeight="1">
      <c r="A294" s="23"/>
    </row>
    <row r="295" spans="1:1" ht="15.75" customHeight="1">
      <c r="A295" s="23"/>
    </row>
    <row r="296" spans="1:1" ht="15.75" customHeight="1">
      <c r="A296" s="23"/>
    </row>
    <row r="297" spans="1:1" ht="15.75" customHeight="1">
      <c r="A297" s="23"/>
    </row>
    <row r="298" spans="1:1" ht="15.75" customHeight="1">
      <c r="A298" s="23"/>
    </row>
    <row r="299" spans="1:1" ht="15.75" customHeight="1">
      <c r="A299" s="23"/>
    </row>
    <row r="300" spans="1:1" ht="15.75" customHeight="1">
      <c r="A300" s="23"/>
    </row>
    <row r="301" spans="1:1" ht="15.75" customHeight="1">
      <c r="A301" s="23"/>
    </row>
    <row r="302" spans="1:1" ht="15.75" customHeight="1">
      <c r="A302" s="23"/>
    </row>
    <row r="303" spans="1:1" ht="15.75" customHeight="1">
      <c r="A303" s="23"/>
    </row>
    <row r="304" spans="1:1" ht="15.75" customHeight="1">
      <c r="A304" s="23"/>
    </row>
    <row r="305" spans="1:1" ht="15.75" customHeight="1">
      <c r="A305" s="23"/>
    </row>
    <row r="306" spans="1:1" ht="15.75" customHeight="1">
      <c r="A306" s="23"/>
    </row>
    <row r="307" spans="1:1" ht="15.75" customHeight="1">
      <c r="A307" s="23"/>
    </row>
    <row r="308" spans="1:1" ht="15.75" customHeight="1">
      <c r="A308" s="23"/>
    </row>
    <row r="309" spans="1:1" ht="15.75" customHeight="1">
      <c r="A309" s="23"/>
    </row>
    <row r="310" spans="1:1" ht="15.75" customHeight="1">
      <c r="A310" s="23"/>
    </row>
    <row r="311" spans="1:1" ht="15.75" customHeight="1">
      <c r="A311" s="23"/>
    </row>
    <row r="312" spans="1:1" ht="15.75" customHeight="1">
      <c r="A312" s="23"/>
    </row>
    <row r="313" spans="1:1" ht="15.75" customHeight="1">
      <c r="A313" s="23"/>
    </row>
    <row r="314" spans="1:1" ht="15.75" customHeight="1">
      <c r="A314" s="23"/>
    </row>
    <row r="315" spans="1:1" ht="15.75" customHeight="1">
      <c r="A315" s="23"/>
    </row>
    <row r="316" spans="1:1" ht="15.75" customHeight="1">
      <c r="A316" s="23"/>
    </row>
    <row r="317" spans="1:1" ht="15.75" customHeight="1">
      <c r="A317" s="23"/>
    </row>
    <row r="318" spans="1:1" ht="15.75" customHeight="1">
      <c r="A318" s="23"/>
    </row>
    <row r="319" spans="1:1" ht="15.75" customHeight="1">
      <c r="A319" s="23"/>
    </row>
    <row r="320" spans="1:1" ht="15.75" customHeight="1">
      <c r="A320" s="23"/>
    </row>
    <row r="321" spans="1:1" ht="15.75" customHeight="1">
      <c r="A321" s="23"/>
    </row>
    <row r="322" spans="1:1" ht="15.75" customHeight="1">
      <c r="A322" s="23"/>
    </row>
    <row r="323" spans="1:1" ht="15.75" customHeight="1">
      <c r="A323" s="23"/>
    </row>
    <row r="324" spans="1:1" ht="15.75" customHeight="1">
      <c r="A324" s="23"/>
    </row>
    <row r="325" spans="1:1" ht="15.75" customHeight="1">
      <c r="A325" s="23"/>
    </row>
    <row r="326" spans="1:1" ht="15.75" customHeight="1">
      <c r="A326" s="23"/>
    </row>
    <row r="327" spans="1:1" ht="15.75" customHeight="1">
      <c r="A327" s="23"/>
    </row>
    <row r="328" spans="1:1" ht="15.75" customHeight="1">
      <c r="A328" s="23"/>
    </row>
    <row r="329" spans="1:1" ht="15.75" customHeight="1">
      <c r="A329" s="23"/>
    </row>
    <row r="330" spans="1:1" ht="15.75" customHeight="1">
      <c r="A330" s="23"/>
    </row>
    <row r="331" spans="1:1" ht="15.75" customHeight="1">
      <c r="A331" s="23"/>
    </row>
    <row r="332" spans="1:1" ht="15.75" customHeight="1">
      <c r="A332" s="23"/>
    </row>
    <row r="333" spans="1:1" ht="15.75" customHeight="1">
      <c r="A333" s="23"/>
    </row>
    <row r="334" spans="1:1" ht="15.75" customHeight="1">
      <c r="A334" s="23"/>
    </row>
    <row r="335" spans="1:1" ht="15.75" customHeight="1">
      <c r="A335" s="23"/>
    </row>
    <row r="336" spans="1:1" ht="15.75" customHeight="1">
      <c r="A336" s="23"/>
    </row>
    <row r="337" spans="1:1" ht="15.75" customHeight="1">
      <c r="A337" s="23"/>
    </row>
    <row r="338" spans="1:1" ht="15.75" customHeight="1">
      <c r="A338" s="23"/>
    </row>
    <row r="339" spans="1:1" ht="15.75" customHeight="1">
      <c r="A339" s="23"/>
    </row>
    <row r="340" spans="1:1" ht="15.75" customHeight="1">
      <c r="A340" s="23"/>
    </row>
    <row r="341" spans="1:1" ht="15.75" customHeight="1">
      <c r="A341" s="23"/>
    </row>
    <row r="342" spans="1:1" ht="15.75" customHeight="1">
      <c r="A342" s="23"/>
    </row>
    <row r="343" spans="1:1" ht="15.75" customHeight="1">
      <c r="A343" s="23"/>
    </row>
    <row r="344" spans="1:1" ht="15.75" customHeight="1">
      <c r="A344" s="23"/>
    </row>
    <row r="345" spans="1:1" ht="15.75" customHeight="1">
      <c r="A345" s="23"/>
    </row>
    <row r="346" spans="1:1" ht="15.75" customHeight="1">
      <c r="A346" s="23"/>
    </row>
    <row r="347" spans="1:1" ht="15.75" customHeight="1">
      <c r="A347" s="23"/>
    </row>
    <row r="348" spans="1:1" ht="15.75" customHeight="1">
      <c r="A348" s="23"/>
    </row>
    <row r="349" spans="1:1" ht="15.75" customHeight="1">
      <c r="A349" s="23"/>
    </row>
    <row r="350" spans="1:1" ht="15.75" customHeight="1">
      <c r="A350" s="23"/>
    </row>
    <row r="351" spans="1:1" ht="15.75" customHeight="1">
      <c r="A351" s="23"/>
    </row>
    <row r="352" spans="1:1" ht="15.75" customHeight="1">
      <c r="A352" s="23"/>
    </row>
    <row r="353" spans="1:1" ht="15.75" customHeight="1">
      <c r="A353" s="23"/>
    </row>
    <row r="354" spans="1:1" ht="15.75" customHeight="1">
      <c r="A354" s="23"/>
    </row>
    <row r="355" spans="1:1" ht="15.75" customHeight="1">
      <c r="A355" s="23"/>
    </row>
    <row r="356" spans="1:1" ht="15.75" customHeight="1">
      <c r="A356" s="23"/>
    </row>
    <row r="357" spans="1:1" ht="15.75" customHeight="1">
      <c r="A357" s="23"/>
    </row>
    <row r="358" spans="1:1" ht="15.75" customHeight="1">
      <c r="A358" s="23"/>
    </row>
    <row r="359" spans="1:1" ht="15.75" customHeight="1">
      <c r="A359" s="23"/>
    </row>
    <row r="360" spans="1:1" ht="15.75" customHeight="1">
      <c r="A360" s="23"/>
    </row>
    <row r="361" spans="1:1" ht="15.75" customHeight="1">
      <c r="A361" s="23"/>
    </row>
    <row r="362" spans="1:1" ht="15.75" customHeight="1">
      <c r="A362" s="23"/>
    </row>
    <row r="363" spans="1:1" ht="15.75" customHeight="1">
      <c r="A363" s="23"/>
    </row>
    <row r="364" spans="1:1" ht="15.75" customHeight="1">
      <c r="A364" s="23"/>
    </row>
    <row r="365" spans="1:1" ht="15.75" customHeight="1">
      <c r="A365" s="23"/>
    </row>
    <row r="366" spans="1:1" ht="15.75" customHeight="1">
      <c r="A366" s="23"/>
    </row>
    <row r="367" spans="1:1" ht="15.75" customHeight="1">
      <c r="A367" s="23"/>
    </row>
    <row r="368" spans="1:1" ht="15.75" customHeight="1">
      <c r="A368" s="23"/>
    </row>
    <row r="369" spans="1:1" ht="15.75" customHeight="1">
      <c r="A369" s="23"/>
    </row>
    <row r="370" spans="1:1" ht="15.75" customHeight="1">
      <c r="A370" s="23"/>
    </row>
    <row r="371" spans="1:1" ht="15.75" customHeight="1">
      <c r="A371" s="23"/>
    </row>
    <row r="372" spans="1:1" ht="15.75" customHeight="1">
      <c r="A372" s="23"/>
    </row>
    <row r="373" spans="1:1" ht="15.75" customHeight="1">
      <c r="A373" s="23"/>
    </row>
    <row r="374" spans="1:1" ht="15.75" customHeight="1">
      <c r="A374" s="23"/>
    </row>
    <row r="375" spans="1:1" ht="15.75" customHeight="1">
      <c r="A375" s="23"/>
    </row>
    <row r="376" spans="1:1" ht="15.75" customHeight="1">
      <c r="A376" s="23"/>
    </row>
    <row r="377" spans="1:1" ht="15.75" customHeight="1">
      <c r="A377" s="23"/>
    </row>
    <row r="378" spans="1:1" ht="15.75" customHeight="1">
      <c r="A378" s="23"/>
    </row>
    <row r="379" spans="1:1" ht="15.75" customHeight="1">
      <c r="A379" s="23"/>
    </row>
    <row r="380" spans="1:1" ht="15.75" customHeight="1">
      <c r="A380" s="23"/>
    </row>
    <row r="381" spans="1:1" ht="15.75" customHeight="1">
      <c r="A381" s="23"/>
    </row>
    <row r="382" spans="1:1" ht="15.75" customHeight="1">
      <c r="A382" s="23"/>
    </row>
    <row r="383" spans="1:1" ht="15.75" customHeight="1">
      <c r="A383" s="23"/>
    </row>
    <row r="384" spans="1:1" ht="15.75" customHeight="1">
      <c r="A384" s="23"/>
    </row>
    <row r="385" spans="1:1" ht="15.75" customHeight="1">
      <c r="A385" s="23"/>
    </row>
    <row r="386" spans="1:1" ht="15.75" customHeight="1">
      <c r="A386" s="23"/>
    </row>
    <row r="387" spans="1:1" ht="15.75" customHeight="1">
      <c r="A387" s="23"/>
    </row>
    <row r="388" spans="1:1" ht="15.75" customHeight="1">
      <c r="A388" s="23"/>
    </row>
    <row r="389" spans="1:1" ht="15.75" customHeight="1">
      <c r="A389" s="23"/>
    </row>
    <row r="390" spans="1:1" ht="15.75" customHeight="1">
      <c r="A390" s="23"/>
    </row>
    <row r="391" spans="1:1" ht="15.75" customHeight="1">
      <c r="A391" s="23"/>
    </row>
    <row r="392" spans="1:1" ht="15.75" customHeight="1">
      <c r="A392" s="23"/>
    </row>
    <row r="393" spans="1:1" ht="15.75" customHeight="1">
      <c r="A393" s="23"/>
    </row>
    <row r="394" spans="1:1" ht="15.75" customHeight="1">
      <c r="A394" s="23"/>
    </row>
    <row r="395" spans="1:1" ht="15.75" customHeight="1">
      <c r="A395" s="23"/>
    </row>
    <row r="396" spans="1:1" ht="15.75" customHeight="1">
      <c r="A396" s="23"/>
    </row>
    <row r="397" spans="1:1" ht="15.75" customHeight="1">
      <c r="A397" s="23"/>
    </row>
    <row r="398" spans="1:1" ht="15.75" customHeight="1">
      <c r="A398" s="23"/>
    </row>
    <row r="399" spans="1:1" ht="15.75" customHeight="1">
      <c r="A399" s="23"/>
    </row>
    <row r="400" spans="1:1" ht="15.75" customHeight="1">
      <c r="A400" s="23"/>
    </row>
    <row r="401" spans="1:1" ht="15.75" customHeight="1">
      <c r="A401" s="23"/>
    </row>
    <row r="402" spans="1:1" ht="15.75" customHeight="1">
      <c r="A402" s="23"/>
    </row>
    <row r="403" spans="1:1" ht="15.75" customHeight="1">
      <c r="A403" s="23"/>
    </row>
    <row r="404" spans="1:1" ht="15.75" customHeight="1">
      <c r="A404" s="23"/>
    </row>
    <row r="405" spans="1:1" ht="15.75" customHeight="1">
      <c r="A405" s="23"/>
    </row>
    <row r="406" spans="1:1" ht="15.75" customHeight="1">
      <c r="A406" s="23"/>
    </row>
    <row r="407" spans="1:1" ht="15.75" customHeight="1">
      <c r="A407" s="23"/>
    </row>
    <row r="408" spans="1:1" ht="15.75" customHeight="1">
      <c r="A408" s="23"/>
    </row>
    <row r="409" spans="1:1" ht="15.75" customHeight="1">
      <c r="A409" s="23"/>
    </row>
    <row r="410" spans="1:1" ht="15.75" customHeight="1">
      <c r="A410" s="23"/>
    </row>
    <row r="411" spans="1:1" ht="15.75" customHeight="1">
      <c r="A411" s="23"/>
    </row>
    <row r="412" spans="1:1" ht="15.75" customHeight="1">
      <c r="A412" s="23"/>
    </row>
    <row r="413" spans="1:1" ht="15.75" customHeight="1">
      <c r="A413" s="23"/>
    </row>
    <row r="414" spans="1:1" ht="15.75" customHeight="1">
      <c r="A414" s="23"/>
    </row>
    <row r="415" spans="1:1" ht="15.75" customHeight="1">
      <c r="A415" s="23"/>
    </row>
    <row r="416" spans="1:1" ht="15.75" customHeight="1">
      <c r="A416" s="23"/>
    </row>
    <row r="417" spans="1:1" ht="15.75" customHeight="1">
      <c r="A417" s="23"/>
    </row>
    <row r="418" spans="1:1" ht="15.75" customHeight="1">
      <c r="A418" s="23"/>
    </row>
    <row r="419" spans="1:1" ht="15.75" customHeight="1">
      <c r="A419" s="23"/>
    </row>
    <row r="420" spans="1:1" ht="15.75" customHeight="1">
      <c r="A420" s="23"/>
    </row>
    <row r="421" spans="1:1" ht="15.75" customHeight="1">
      <c r="A421" s="23"/>
    </row>
    <row r="422" spans="1:1" ht="15.75" customHeight="1">
      <c r="A422" s="23"/>
    </row>
    <row r="423" spans="1:1" ht="15.75" customHeight="1">
      <c r="A423" s="23"/>
    </row>
    <row r="424" spans="1:1" ht="15.75" customHeight="1">
      <c r="A424" s="23"/>
    </row>
    <row r="425" spans="1:1" ht="15.75" customHeight="1">
      <c r="A425" s="23"/>
    </row>
    <row r="426" spans="1:1" ht="15.75" customHeight="1">
      <c r="A426" s="23"/>
    </row>
    <row r="427" spans="1:1" ht="15.75" customHeight="1">
      <c r="A427" s="23"/>
    </row>
    <row r="428" spans="1:1" ht="15.75" customHeight="1">
      <c r="A428" s="23"/>
    </row>
    <row r="429" spans="1:1" ht="15.75" customHeight="1">
      <c r="A429" s="23"/>
    </row>
    <row r="430" spans="1:1" ht="15.75" customHeight="1">
      <c r="A430" s="23"/>
    </row>
    <row r="431" spans="1:1" ht="15.75" customHeight="1">
      <c r="A431" s="23"/>
    </row>
    <row r="432" spans="1:1" ht="15.75" customHeight="1">
      <c r="A432" s="23"/>
    </row>
    <row r="433" spans="1:1" ht="15.75" customHeight="1">
      <c r="A433" s="23"/>
    </row>
    <row r="434" spans="1:1" ht="15.75" customHeight="1">
      <c r="A434" s="23"/>
    </row>
    <row r="435" spans="1:1" ht="15.75" customHeight="1">
      <c r="A435" s="23"/>
    </row>
    <row r="436" spans="1:1" ht="15.75" customHeight="1">
      <c r="A436" s="23"/>
    </row>
    <row r="437" spans="1:1" ht="15.75" customHeight="1">
      <c r="A437" s="23"/>
    </row>
    <row r="438" spans="1:1" ht="15.75" customHeight="1">
      <c r="A438" s="23"/>
    </row>
    <row r="439" spans="1:1" ht="15.75" customHeight="1">
      <c r="A439" s="23"/>
    </row>
    <row r="440" spans="1:1" ht="15.75" customHeight="1">
      <c r="A440" s="23"/>
    </row>
    <row r="441" spans="1:1" ht="15.75" customHeight="1">
      <c r="A441" s="23"/>
    </row>
    <row r="442" spans="1:1" ht="15.75" customHeight="1">
      <c r="A442" s="23"/>
    </row>
    <row r="443" spans="1:1" ht="15.75" customHeight="1">
      <c r="A443" s="23"/>
    </row>
    <row r="444" spans="1:1" ht="15.75" customHeight="1">
      <c r="A444" s="23"/>
    </row>
    <row r="445" spans="1:1" ht="15.75" customHeight="1">
      <c r="A445" s="23"/>
    </row>
    <row r="446" spans="1:1" ht="15.75" customHeight="1">
      <c r="A446" s="23"/>
    </row>
    <row r="447" spans="1:1" ht="15.75" customHeight="1">
      <c r="A447" s="23"/>
    </row>
    <row r="448" spans="1:1" ht="15.75" customHeight="1">
      <c r="A448" s="23"/>
    </row>
    <row r="449" spans="1:1" ht="15.75" customHeight="1">
      <c r="A449" s="23"/>
    </row>
    <row r="450" spans="1:1" ht="15.75" customHeight="1">
      <c r="A450" s="23"/>
    </row>
    <row r="451" spans="1:1" ht="15.75" customHeight="1">
      <c r="A451" s="23"/>
    </row>
    <row r="452" spans="1:1" ht="15.75" customHeight="1">
      <c r="A452" s="23"/>
    </row>
    <row r="453" spans="1:1" ht="15.75" customHeight="1">
      <c r="A453" s="23"/>
    </row>
    <row r="454" spans="1:1" ht="15.75" customHeight="1">
      <c r="A454" s="23"/>
    </row>
    <row r="455" spans="1:1" ht="15.75" customHeight="1">
      <c r="A455" s="23"/>
    </row>
    <row r="456" spans="1:1" ht="15.75" customHeight="1">
      <c r="A456" s="23"/>
    </row>
    <row r="457" spans="1:1" ht="15.75" customHeight="1">
      <c r="A457" s="23"/>
    </row>
    <row r="458" spans="1:1" ht="15.75" customHeight="1">
      <c r="A458" s="23"/>
    </row>
    <row r="459" spans="1:1" ht="15.75" customHeight="1">
      <c r="A459" s="23"/>
    </row>
    <row r="460" spans="1:1" ht="15.75" customHeight="1">
      <c r="A460" s="23"/>
    </row>
    <row r="461" spans="1:1" ht="15.75" customHeight="1">
      <c r="A461" s="23"/>
    </row>
    <row r="462" spans="1:1" ht="15.75" customHeight="1">
      <c r="A462" s="23"/>
    </row>
    <row r="463" spans="1:1" ht="15.75" customHeight="1">
      <c r="A463" s="23"/>
    </row>
    <row r="464" spans="1:1" ht="15.75" customHeight="1">
      <c r="A464" s="23"/>
    </row>
    <row r="465" spans="1:1" ht="15.75" customHeight="1">
      <c r="A465" s="23"/>
    </row>
    <row r="466" spans="1:1" ht="15.75" customHeight="1">
      <c r="A466" s="23"/>
    </row>
    <row r="467" spans="1:1" ht="15.75" customHeight="1">
      <c r="A467" s="23"/>
    </row>
    <row r="468" spans="1:1" ht="15.75" customHeight="1">
      <c r="A468" s="23"/>
    </row>
    <row r="469" spans="1:1" ht="15.75" customHeight="1">
      <c r="A469" s="23"/>
    </row>
    <row r="470" spans="1:1" ht="15.75" customHeight="1">
      <c r="A470" s="23"/>
    </row>
    <row r="471" spans="1:1" ht="15.75" customHeight="1">
      <c r="A471" s="23"/>
    </row>
    <row r="472" spans="1:1" ht="15.75" customHeight="1">
      <c r="A472" s="23"/>
    </row>
    <row r="473" spans="1:1" ht="15.75" customHeight="1">
      <c r="A473" s="23"/>
    </row>
    <row r="474" spans="1:1" ht="15.75" customHeight="1">
      <c r="A474" s="23"/>
    </row>
    <row r="475" spans="1:1" ht="15.75" customHeight="1">
      <c r="A475" s="23"/>
    </row>
    <row r="476" spans="1:1" ht="15.75" customHeight="1">
      <c r="A476" s="23"/>
    </row>
    <row r="477" spans="1:1" ht="15.75" customHeight="1">
      <c r="A477" s="23"/>
    </row>
    <row r="478" spans="1:1" ht="15.75" customHeight="1">
      <c r="A478" s="23"/>
    </row>
    <row r="479" spans="1:1" ht="15.75" customHeight="1">
      <c r="A479" s="23"/>
    </row>
    <row r="480" spans="1:1" ht="15.75" customHeight="1">
      <c r="A480" s="23"/>
    </row>
    <row r="481" spans="1:1" ht="15.75" customHeight="1">
      <c r="A481" s="23"/>
    </row>
    <row r="482" spans="1:1" ht="15.75" customHeight="1">
      <c r="A482" s="23"/>
    </row>
    <row r="483" spans="1:1" ht="15.75" customHeight="1">
      <c r="A483" s="23"/>
    </row>
    <row r="484" spans="1:1" ht="15.75" customHeight="1">
      <c r="A484" s="23"/>
    </row>
    <row r="485" spans="1:1" ht="15.75" customHeight="1">
      <c r="A485" s="23"/>
    </row>
    <row r="486" spans="1:1" ht="15.75" customHeight="1">
      <c r="A486" s="23"/>
    </row>
    <row r="487" spans="1:1" ht="15.75" customHeight="1">
      <c r="A487" s="23"/>
    </row>
    <row r="488" spans="1:1" ht="15.75" customHeight="1">
      <c r="A488" s="23"/>
    </row>
    <row r="489" spans="1:1" ht="15.75" customHeight="1">
      <c r="A489" s="23"/>
    </row>
    <row r="490" spans="1:1" ht="15.75" customHeight="1">
      <c r="A490" s="23"/>
    </row>
    <row r="491" spans="1:1" ht="15.75" customHeight="1">
      <c r="A491" s="23"/>
    </row>
    <row r="492" spans="1:1" ht="15.75" customHeight="1">
      <c r="A492" s="23"/>
    </row>
    <row r="493" spans="1:1" ht="15.75" customHeight="1">
      <c r="A493" s="23"/>
    </row>
    <row r="494" spans="1:1" ht="15.75" customHeight="1">
      <c r="A494" s="23"/>
    </row>
    <row r="495" spans="1:1" ht="15.75" customHeight="1">
      <c r="A495" s="23"/>
    </row>
    <row r="496" spans="1:1" ht="15.75" customHeight="1">
      <c r="A496" s="23"/>
    </row>
    <row r="497" spans="1:1" ht="15.75" customHeight="1">
      <c r="A497" s="23"/>
    </row>
    <row r="498" spans="1:1" ht="15.75" customHeight="1">
      <c r="A498" s="23"/>
    </row>
    <row r="499" spans="1:1" ht="15.75" customHeight="1">
      <c r="A499" s="23"/>
    </row>
    <row r="500" spans="1:1" ht="15.75" customHeight="1">
      <c r="A500" s="23"/>
    </row>
    <row r="501" spans="1:1" ht="15.75" customHeight="1">
      <c r="A501" s="23"/>
    </row>
    <row r="502" spans="1:1" ht="15.75" customHeight="1">
      <c r="A502" s="23"/>
    </row>
    <row r="503" spans="1:1" ht="15.75" customHeight="1">
      <c r="A503" s="23"/>
    </row>
    <row r="504" spans="1:1" ht="15.75" customHeight="1">
      <c r="A504" s="23"/>
    </row>
    <row r="505" spans="1:1" ht="15.75" customHeight="1">
      <c r="A505" s="23"/>
    </row>
    <row r="506" spans="1:1" ht="15.75" customHeight="1">
      <c r="A506" s="23"/>
    </row>
    <row r="507" spans="1:1" ht="15.75" customHeight="1">
      <c r="A507" s="23"/>
    </row>
    <row r="508" spans="1:1" ht="15.75" customHeight="1">
      <c r="A508" s="23"/>
    </row>
    <row r="509" spans="1:1" ht="15.75" customHeight="1">
      <c r="A509" s="23"/>
    </row>
    <row r="510" spans="1:1" ht="15.75" customHeight="1">
      <c r="A510" s="23"/>
    </row>
    <row r="511" spans="1:1" ht="15.75" customHeight="1">
      <c r="A511" s="23"/>
    </row>
    <row r="512" spans="1:1" ht="15.75" customHeight="1">
      <c r="A512" s="23"/>
    </row>
    <row r="513" spans="1:1" ht="15.75" customHeight="1">
      <c r="A513" s="23"/>
    </row>
    <row r="514" spans="1:1" ht="15.75" customHeight="1">
      <c r="A514" s="23"/>
    </row>
    <row r="515" spans="1:1" ht="15.75" customHeight="1">
      <c r="A515" s="23"/>
    </row>
    <row r="516" spans="1:1" ht="15.75" customHeight="1">
      <c r="A516" s="23"/>
    </row>
    <row r="517" spans="1:1" ht="15.75" customHeight="1">
      <c r="A517" s="23"/>
    </row>
    <row r="518" spans="1:1" ht="15.75" customHeight="1">
      <c r="A518" s="23"/>
    </row>
    <row r="519" spans="1:1" ht="15.75" customHeight="1">
      <c r="A519" s="23"/>
    </row>
    <row r="520" spans="1:1" ht="15.75" customHeight="1">
      <c r="A520" s="23"/>
    </row>
    <row r="521" spans="1:1" ht="15.75" customHeight="1">
      <c r="A521" s="23"/>
    </row>
    <row r="522" spans="1:1" ht="15.75" customHeight="1">
      <c r="A522" s="23"/>
    </row>
    <row r="523" spans="1:1" ht="15.75" customHeight="1">
      <c r="A523" s="23"/>
    </row>
    <row r="524" spans="1:1" ht="15.75" customHeight="1">
      <c r="A524" s="23"/>
    </row>
    <row r="525" spans="1:1" ht="15.75" customHeight="1">
      <c r="A525" s="23"/>
    </row>
    <row r="526" spans="1:1" ht="15.75" customHeight="1">
      <c r="A526" s="23"/>
    </row>
    <row r="527" spans="1:1" ht="15.75" customHeight="1">
      <c r="A527" s="23"/>
    </row>
    <row r="528" spans="1:1" ht="15.75" customHeight="1">
      <c r="A528" s="23"/>
    </row>
    <row r="529" spans="1:1" ht="15.75" customHeight="1">
      <c r="A529" s="23"/>
    </row>
    <row r="530" spans="1:1" ht="15.75" customHeight="1">
      <c r="A530" s="23"/>
    </row>
    <row r="531" spans="1:1" ht="15.75" customHeight="1">
      <c r="A531" s="23"/>
    </row>
    <row r="532" spans="1:1" ht="15.75" customHeight="1">
      <c r="A532" s="23"/>
    </row>
    <row r="533" spans="1:1" ht="15.75" customHeight="1">
      <c r="A533" s="23"/>
    </row>
    <row r="534" spans="1:1" ht="15.75" customHeight="1">
      <c r="A534" s="23"/>
    </row>
    <row r="535" spans="1:1" ht="15.75" customHeight="1">
      <c r="A535" s="23"/>
    </row>
    <row r="536" spans="1:1" ht="15.75" customHeight="1">
      <c r="A536" s="23"/>
    </row>
    <row r="537" spans="1:1" ht="15.75" customHeight="1">
      <c r="A537" s="23"/>
    </row>
    <row r="538" spans="1:1" ht="15.75" customHeight="1">
      <c r="A538" s="23"/>
    </row>
    <row r="539" spans="1:1" ht="15.75" customHeight="1">
      <c r="A539" s="23"/>
    </row>
    <row r="540" spans="1:1" ht="15.75" customHeight="1">
      <c r="A540" s="23"/>
    </row>
    <row r="541" spans="1:1" ht="15.75" customHeight="1">
      <c r="A541" s="23"/>
    </row>
    <row r="542" spans="1:1" ht="15.75" customHeight="1">
      <c r="A542" s="23"/>
    </row>
    <row r="543" spans="1:1" ht="15.75" customHeight="1">
      <c r="A543" s="23"/>
    </row>
    <row r="544" spans="1:1" ht="15.75" customHeight="1">
      <c r="A544" s="23"/>
    </row>
    <row r="545" spans="1:1" ht="15.75" customHeight="1">
      <c r="A545" s="23"/>
    </row>
    <row r="546" spans="1:1" ht="15.75" customHeight="1">
      <c r="A546" s="23"/>
    </row>
    <row r="547" spans="1:1" ht="15.75" customHeight="1">
      <c r="A547" s="23"/>
    </row>
    <row r="548" spans="1:1" ht="15.75" customHeight="1">
      <c r="A548" s="23"/>
    </row>
    <row r="549" spans="1:1" ht="15.75" customHeight="1">
      <c r="A549" s="23"/>
    </row>
    <row r="550" spans="1:1" ht="15.75" customHeight="1">
      <c r="A550" s="23"/>
    </row>
    <row r="551" spans="1:1" ht="15.75" customHeight="1">
      <c r="A551" s="23"/>
    </row>
    <row r="552" spans="1:1" ht="15.75" customHeight="1">
      <c r="A552" s="23"/>
    </row>
    <row r="553" spans="1:1" ht="15.75" customHeight="1">
      <c r="A553" s="23"/>
    </row>
    <row r="554" spans="1:1" ht="15.75" customHeight="1">
      <c r="A554" s="23"/>
    </row>
    <row r="555" spans="1:1" ht="15.75" customHeight="1">
      <c r="A555" s="23"/>
    </row>
    <row r="556" spans="1:1" ht="15.75" customHeight="1">
      <c r="A556" s="23"/>
    </row>
    <row r="557" spans="1:1" ht="15.75" customHeight="1">
      <c r="A557" s="23"/>
    </row>
    <row r="558" spans="1:1" ht="15.75" customHeight="1">
      <c r="A558" s="23"/>
    </row>
    <row r="559" spans="1:1" ht="15.75" customHeight="1">
      <c r="A559" s="23"/>
    </row>
    <row r="560" spans="1:1" ht="15.75" customHeight="1">
      <c r="A560" s="23"/>
    </row>
    <row r="561" spans="1:1" ht="15.75" customHeight="1">
      <c r="A561" s="23"/>
    </row>
    <row r="562" spans="1:1" ht="15.75" customHeight="1">
      <c r="A562" s="23"/>
    </row>
    <row r="563" spans="1:1" ht="15.75" customHeight="1">
      <c r="A563" s="23"/>
    </row>
    <row r="564" spans="1:1" ht="15.75" customHeight="1">
      <c r="A564" s="23"/>
    </row>
    <row r="565" spans="1:1" ht="15.75" customHeight="1">
      <c r="A565" s="23"/>
    </row>
    <row r="566" spans="1:1" ht="15.75" customHeight="1">
      <c r="A566" s="23"/>
    </row>
    <row r="567" spans="1:1" ht="15.75" customHeight="1">
      <c r="A567" s="23"/>
    </row>
    <row r="568" spans="1:1" ht="15.75" customHeight="1">
      <c r="A568" s="23"/>
    </row>
    <row r="569" spans="1:1" ht="15.75" customHeight="1">
      <c r="A569" s="23"/>
    </row>
    <row r="570" spans="1:1" ht="15.75" customHeight="1">
      <c r="A570" s="23"/>
    </row>
    <row r="571" spans="1:1" ht="15.75" customHeight="1">
      <c r="A571" s="23"/>
    </row>
    <row r="572" spans="1:1" ht="15.75" customHeight="1">
      <c r="A572" s="23"/>
    </row>
    <row r="573" spans="1:1" ht="15.75" customHeight="1">
      <c r="A573" s="23"/>
    </row>
    <row r="574" spans="1:1" ht="15.75" customHeight="1">
      <c r="A574" s="23"/>
    </row>
    <row r="575" spans="1:1" ht="15.75" customHeight="1">
      <c r="A575" s="23"/>
    </row>
    <row r="576" spans="1:1" ht="15.75" customHeight="1">
      <c r="A576" s="23"/>
    </row>
    <row r="577" spans="1:1" ht="15.75" customHeight="1">
      <c r="A577" s="23"/>
    </row>
    <row r="578" spans="1:1" ht="15.75" customHeight="1">
      <c r="A578" s="23"/>
    </row>
    <row r="579" spans="1:1" ht="15.75" customHeight="1">
      <c r="A579" s="23"/>
    </row>
    <row r="580" spans="1:1" ht="15.75" customHeight="1">
      <c r="A580" s="23"/>
    </row>
    <row r="581" spans="1:1" ht="15.75" customHeight="1">
      <c r="A581" s="23"/>
    </row>
    <row r="582" spans="1:1" ht="15.75" customHeight="1">
      <c r="A582" s="23"/>
    </row>
    <row r="583" spans="1:1" ht="15.75" customHeight="1">
      <c r="A583" s="23"/>
    </row>
    <row r="584" spans="1:1" ht="15.75" customHeight="1">
      <c r="A584" s="23"/>
    </row>
    <row r="585" spans="1:1" ht="15.75" customHeight="1">
      <c r="A585" s="23"/>
    </row>
    <row r="586" spans="1:1" ht="15.75" customHeight="1">
      <c r="A586" s="23"/>
    </row>
    <row r="587" spans="1:1" ht="15.75" customHeight="1">
      <c r="A587" s="23"/>
    </row>
    <row r="588" spans="1:1" ht="15.75" customHeight="1">
      <c r="A588" s="23"/>
    </row>
    <row r="589" spans="1:1" ht="15.75" customHeight="1">
      <c r="A589" s="23"/>
    </row>
    <row r="590" spans="1:1" ht="15.75" customHeight="1">
      <c r="A590" s="23"/>
    </row>
    <row r="591" spans="1:1" ht="15.75" customHeight="1">
      <c r="A591" s="23"/>
    </row>
    <row r="592" spans="1:1" ht="15.75" customHeight="1">
      <c r="A592" s="23"/>
    </row>
    <row r="593" spans="1:1" ht="15.75" customHeight="1">
      <c r="A593" s="23"/>
    </row>
    <row r="594" spans="1:1" ht="15.75" customHeight="1">
      <c r="A594" s="23"/>
    </row>
    <row r="595" spans="1:1" ht="15.75" customHeight="1">
      <c r="A595" s="23"/>
    </row>
    <row r="596" spans="1:1" ht="15.75" customHeight="1">
      <c r="A596" s="23"/>
    </row>
    <row r="597" spans="1:1" ht="15.75" customHeight="1">
      <c r="A597" s="23"/>
    </row>
    <row r="598" spans="1:1" ht="15.75" customHeight="1">
      <c r="A598" s="23"/>
    </row>
    <row r="599" spans="1:1" ht="15.75" customHeight="1">
      <c r="A599" s="23"/>
    </row>
    <row r="600" spans="1:1" ht="15.75" customHeight="1">
      <c r="A600" s="23"/>
    </row>
    <row r="601" spans="1:1" ht="15.75" customHeight="1">
      <c r="A601" s="23"/>
    </row>
    <row r="602" spans="1:1" ht="15.75" customHeight="1">
      <c r="A602" s="23"/>
    </row>
    <row r="603" spans="1:1" ht="15.75" customHeight="1">
      <c r="A603" s="23"/>
    </row>
    <row r="604" spans="1:1" ht="15.75" customHeight="1">
      <c r="A604" s="23"/>
    </row>
    <row r="605" spans="1:1" ht="15.75" customHeight="1">
      <c r="A605" s="23"/>
    </row>
    <row r="606" spans="1:1" ht="15.75" customHeight="1">
      <c r="A606" s="23"/>
    </row>
    <row r="607" spans="1:1" ht="15.75" customHeight="1">
      <c r="A607" s="23"/>
    </row>
    <row r="608" spans="1:1" ht="15.75" customHeight="1">
      <c r="A608" s="23"/>
    </row>
    <row r="609" spans="1:1" ht="15.75" customHeight="1">
      <c r="A609" s="23"/>
    </row>
    <row r="610" spans="1:1" ht="15.75" customHeight="1">
      <c r="A610" s="23"/>
    </row>
    <row r="611" spans="1:1" ht="15.75" customHeight="1">
      <c r="A611" s="23"/>
    </row>
    <row r="612" spans="1:1" ht="15.75" customHeight="1">
      <c r="A612" s="23"/>
    </row>
    <row r="613" spans="1:1" ht="15.75" customHeight="1">
      <c r="A613" s="23"/>
    </row>
    <row r="614" spans="1:1" ht="15.75" customHeight="1">
      <c r="A614" s="23"/>
    </row>
    <row r="615" spans="1:1" ht="15.75" customHeight="1">
      <c r="A615" s="23"/>
    </row>
    <row r="616" spans="1:1" ht="15.75" customHeight="1">
      <c r="A616" s="23"/>
    </row>
    <row r="617" spans="1:1" ht="15.75" customHeight="1">
      <c r="A617" s="23"/>
    </row>
    <row r="618" spans="1:1" ht="15.75" customHeight="1">
      <c r="A618" s="23"/>
    </row>
    <row r="619" spans="1:1" ht="15.75" customHeight="1">
      <c r="A619" s="23"/>
    </row>
    <row r="620" spans="1:1" ht="15.75" customHeight="1">
      <c r="A620" s="23"/>
    </row>
    <row r="621" spans="1:1" ht="15.75" customHeight="1">
      <c r="A621" s="23"/>
    </row>
    <row r="622" spans="1:1" ht="15.75" customHeight="1">
      <c r="A622" s="23"/>
    </row>
    <row r="623" spans="1:1" ht="15.75" customHeight="1">
      <c r="A623" s="23"/>
    </row>
    <row r="624" spans="1:1" ht="15.75" customHeight="1">
      <c r="A624" s="23"/>
    </row>
    <row r="625" spans="1:1" ht="15.75" customHeight="1">
      <c r="A625" s="23"/>
    </row>
    <row r="626" spans="1:1" ht="15.75" customHeight="1">
      <c r="A626" s="23"/>
    </row>
    <row r="627" spans="1:1" ht="15.75" customHeight="1">
      <c r="A627" s="23"/>
    </row>
    <row r="628" spans="1:1" ht="15.75" customHeight="1">
      <c r="A628" s="23"/>
    </row>
    <row r="629" spans="1:1" ht="15.75" customHeight="1">
      <c r="A629" s="23"/>
    </row>
    <row r="630" spans="1:1" ht="15.75" customHeight="1">
      <c r="A630" s="23"/>
    </row>
    <row r="631" spans="1:1" ht="15.75" customHeight="1">
      <c r="A631" s="23"/>
    </row>
    <row r="632" spans="1:1" ht="15.75" customHeight="1">
      <c r="A632" s="23"/>
    </row>
    <row r="633" spans="1:1" ht="15.75" customHeight="1">
      <c r="A633" s="23"/>
    </row>
    <row r="634" spans="1:1" ht="15.75" customHeight="1">
      <c r="A634" s="23"/>
    </row>
    <row r="635" spans="1:1" ht="15.75" customHeight="1">
      <c r="A635" s="23"/>
    </row>
    <row r="636" spans="1:1" ht="15.75" customHeight="1">
      <c r="A636" s="23"/>
    </row>
    <row r="637" spans="1:1" ht="15.75" customHeight="1">
      <c r="A637" s="23"/>
    </row>
    <row r="638" spans="1:1" ht="15.75" customHeight="1">
      <c r="A638" s="23"/>
    </row>
    <row r="639" spans="1:1" ht="15.75" customHeight="1">
      <c r="A639" s="23"/>
    </row>
    <row r="640" spans="1:1" ht="15.75" customHeight="1">
      <c r="A640" s="23"/>
    </row>
    <row r="641" spans="1:1" ht="15.75" customHeight="1">
      <c r="A641" s="23"/>
    </row>
    <row r="642" spans="1:1" ht="15.75" customHeight="1">
      <c r="A642" s="23"/>
    </row>
    <row r="643" spans="1:1" ht="15.75" customHeight="1">
      <c r="A643" s="23"/>
    </row>
    <row r="644" spans="1:1" ht="15.75" customHeight="1">
      <c r="A644" s="23"/>
    </row>
    <row r="645" spans="1:1" ht="15.75" customHeight="1">
      <c r="A645" s="23"/>
    </row>
    <row r="646" spans="1:1" ht="15.75" customHeight="1">
      <c r="A646" s="23"/>
    </row>
    <row r="647" spans="1:1" ht="15.75" customHeight="1">
      <c r="A647" s="23"/>
    </row>
    <row r="648" spans="1:1" ht="15.75" customHeight="1">
      <c r="A648" s="23"/>
    </row>
    <row r="649" spans="1:1" ht="15.75" customHeight="1">
      <c r="A649" s="23"/>
    </row>
    <row r="650" spans="1:1" ht="15.75" customHeight="1">
      <c r="A650" s="23"/>
    </row>
    <row r="651" spans="1:1" ht="15.75" customHeight="1">
      <c r="A651" s="23"/>
    </row>
    <row r="652" spans="1:1" ht="15.75" customHeight="1">
      <c r="A652" s="23"/>
    </row>
    <row r="653" spans="1:1" ht="15.75" customHeight="1">
      <c r="A653" s="23"/>
    </row>
    <row r="654" spans="1:1" ht="15.75" customHeight="1">
      <c r="A654" s="23"/>
    </row>
    <row r="655" spans="1:1" ht="15.75" customHeight="1">
      <c r="A655" s="23"/>
    </row>
    <row r="656" spans="1:1" ht="15.75" customHeight="1">
      <c r="A656" s="23"/>
    </row>
    <row r="657" spans="1:1" ht="15.75" customHeight="1">
      <c r="A657" s="23"/>
    </row>
    <row r="658" spans="1:1" ht="15.75" customHeight="1">
      <c r="A658" s="23"/>
    </row>
    <row r="659" spans="1:1" ht="15.75" customHeight="1">
      <c r="A659" s="23"/>
    </row>
    <row r="660" spans="1:1" ht="15.75" customHeight="1">
      <c r="A660" s="23"/>
    </row>
    <row r="661" spans="1:1" ht="15.75" customHeight="1">
      <c r="A661" s="23"/>
    </row>
    <row r="662" spans="1:1" ht="15.75" customHeight="1">
      <c r="A662" s="23"/>
    </row>
    <row r="663" spans="1:1" ht="15.75" customHeight="1">
      <c r="A663" s="23"/>
    </row>
    <row r="664" spans="1:1" ht="15.75" customHeight="1">
      <c r="A664" s="23"/>
    </row>
    <row r="665" spans="1:1" ht="15.75" customHeight="1">
      <c r="A665" s="23"/>
    </row>
    <row r="666" spans="1:1" ht="15.75" customHeight="1">
      <c r="A666" s="23"/>
    </row>
    <row r="667" spans="1:1" ht="15.75" customHeight="1">
      <c r="A667" s="23"/>
    </row>
    <row r="668" spans="1:1" ht="15.75" customHeight="1">
      <c r="A668" s="23"/>
    </row>
    <row r="669" spans="1:1" ht="15.75" customHeight="1">
      <c r="A669" s="23"/>
    </row>
    <row r="670" spans="1:1" ht="15.75" customHeight="1">
      <c r="A670" s="23"/>
    </row>
    <row r="671" spans="1:1" ht="15.75" customHeight="1">
      <c r="A671" s="23"/>
    </row>
    <row r="672" spans="1:1" ht="15.75" customHeight="1">
      <c r="A672" s="23"/>
    </row>
    <row r="673" spans="1:1" ht="15.75" customHeight="1">
      <c r="A673" s="23"/>
    </row>
    <row r="674" spans="1:1" ht="15.75" customHeight="1">
      <c r="A674" s="23"/>
    </row>
    <row r="675" spans="1:1" ht="15.75" customHeight="1">
      <c r="A675" s="23"/>
    </row>
    <row r="676" spans="1:1" ht="15.75" customHeight="1">
      <c r="A676" s="23"/>
    </row>
    <row r="677" spans="1:1" ht="15.75" customHeight="1">
      <c r="A677" s="23"/>
    </row>
    <row r="678" spans="1:1" ht="15.75" customHeight="1">
      <c r="A678" s="23"/>
    </row>
    <row r="679" spans="1:1" ht="15.75" customHeight="1">
      <c r="A679" s="23"/>
    </row>
    <row r="680" spans="1:1" ht="15.75" customHeight="1">
      <c r="A680" s="23"/>
    </row>
    <row r="681" spans="1:1" ht="15.75" customHeight="1">
      <c r="A681" s="23"/>
    </row>
    <row r="682" spans="1:1" ht="15.75" customHeight="1">
      <c r="A682" s="23"/>
    </row>
    <row r="683" spans="1:1" ht="15.75" customHeight="1">
      <c r="A683" s="23"/>
    </row>
    <row r="684" spans="1:1" ht="15.75" customHeight="1">
      <c r="A684" s="23"/>
    </row>
    <row r="685" spans="1:1" ht="15.75" customHeight="1">
      <c r="A685" s="23"/>
    </row>
    <row r="686" spans="1:1" ht="15.75" customHeight="1">
      <c r="A686" s="23"/>
    </row>
    <row r="687" spans="1:1" ht="15.75" customHeight="1">
      <c r="A687" s="23"/>
    </row>
    <row r="688" spans="1:1" ht="15.75" customHeight="1">
      <c r="A688" s="23"/>
    </row>
    <row r="689" spans="1:1" ht="15.75" customHeight="1">
      <c r="A689" s="23"/>
    </row>
    <row r="690" spans="1:1" ht="15.75" customHeight="1">
      <c r="A690" s="23"/>
    </row>
    <row r="691" spans="1:1" ht="15.75" customHeight="1">
      <c r="A691" s="23"/>
    </row>
    <row r="692" spans="1:1" ht="15.75" customHeight="1">
      <c r="A692" s="23"/>
    </row>
    <row r="693" spans="1:1" ht="15.75" customHeight="1">
      <c r="A693" s="23"/>
    </row>
    <row r="694" spans="1:1" ht="15.75" customHeight="1">
      <c r="A694" s="23"/>
    </row>
    <row r="695" spans="1:1" ht="15.75" customHeight="1">
      <c r="A695" s="23"/>
    </row>
    <row r="696" spans="1:1" ht="15.75" customHeight="1">
      <c r="A696" s="23"/>
    </row>
    <row r="697" spans="1:1" ht="15.75" customHeight="1">
      <c r="A697" s="23"/>
    </row>
    <row r="698" spans="1:1" ht="15.75" customHeight="1">
      <c r="A698" s="23"/>
    </row>
    <row r="699" spans="1:1" ht="15.75" customHeight="1">
      <c r="A699" s="23"/>
    </row>
    <row r="700" spans="1:1" ht="15.75" customHeight="1">
      <c r="A700" s="23"/>
    </row>
    <row r="701" spans="1:1" ht="15.75" customHeight="1">
      <c r="A701" s="23"/>
    </row>
    <row r="702" spans="1:1" ht="15.75" customHeight="1">
      <c r="A702" s="23"/>
    </row>
    <row r="703" spans="1:1" ht="15.75" customHeight="1">
      <c r="A703" s="23"/>
    </row>
    <row r="704" spans="1:1" ht="15.75" customHeight="1">
      <c r="A704" s="23"/>
    </row>
    <row r="705" spans="1:1" ht="15.75" customHeight="1">
      <c r="A705" s="23"/>
    </row>
    <row r="706" spans="1:1" ht="15.75" customHeight="1">
      <c r="A706" s="23"/>
    </row>
    <row r="707" spans="1:1" ht="15.75" customHeight="1">
      <c r="A707" s="23"/>
    </row>
    <row r="708" spans="1:1" ht="15.75" customHeight="1">
      <c r="A708" s="23"/>
    </row>
    <row r="709" spans="1:1" ht="15.75" customHeight="1">
      <c r="A709" s="23"/>
    </row>
    <row r="710" spans="1:1" ht="15.75" customHeight="1">
      <c r="A710" s="23"/>
    </row>
    <row r="711" spans="1:1" ht="15.75" customHeight="1">
      <c r="A711" s="23"/>
    </row>
    <row r="712" spans="1:1" ht="15.75" customHeight="1">
      <c r="A712" s="23"/>
    </row>
    <row r="713" spans="1:1" ht="15.75" customHeight="1">
      <c r="A713" s="23"/>
    </row>
    <row r="714" spans="1:1" ht="15.75" customHeight="1">
      <c r="A714" s="23"/>
    </row>
    <row r="715" spans="1:1" ht="15.75" customHeight="1">
      <c r="A715" s="23"/>
    </row>
    <row r="716" spans="1:1" ht="15.75" customHeight="1">
      <c r="A716" s="23"/>
    </row>
    <row r="717" spans="1:1" ht="15.75" customHeight="1">
      <c r="A717" s="23"/>
    </row>
    <row r="718" spans="1:1" ht="15.75" customHeight="1">
      <c r="A718" s="23"/>
    </row>
    <row r="719" spans="1:1" ht="15.75" customHeight="1">
      <c r="A719" s="23"/>
    </row>
    <row r="720" spans="1:1" ht="15.75" customHeight="1">
      <c r="A720" s="23"/>
    </row>
    <row r="721" spans="1:1" ht="15.75" customHeight="1">
      <c r="A721" s="23"/>
    </row>
    <row r="722" spans="1:1" ht="15.75" customHeight="1">
      <c r="A722" s="23"/>
    </row>
    <row r="723" spans="1:1" ht="15.75" customHeight="1">
      <c r="A723" s="23"/>
    </row>
    <row r="724" spans="1:1" ht="15.75" customHeight="1">
      <c r="A724" s="23"/>
    </row>
    <row r="725" spans="1:1" ht="15.75" customHeight="1">
      <c r="A725" s="23"/>
    </row>
    <row r="726" spans="1:1" ht="15.75" customHeight="1">
      <c r="A726" s="23"/>
    </row>
    <row r="727" spans="1:1" ht="15.75" customHeight="1">
      <c r="A727" s="23"/>
    </row>
    <row r="728" spans="1:1" ht="15.75" customHeight="1">
      <c r="A728" s="23"/>
    </row>
    <row r="729" spans="1:1" ht="15.75" customHeight="1">
      <c r="A729" s="23"/>
    </row>
    <row r="730" spans="1:1" ht="15.75" customHeight="1">
      <c r="A730" s="23"/>
    </row>
    <row r="731" spans="1:1" ht="15.75" customHeight="1">
      <c r="A731" s="23"/>
    </row>
    <row r="732" spans="1:1" ht="15.75" customHeight="1">
      <c r="A732" s="23"/>
    </row>
    <row r="733" spans="1:1" ht="15.75" customHeight="1">
      <c r="A733" s="23"/>
    </row>
    <row r="734" spans="1:1" ht="15.75" customHeight="1">
      <c r="A734" s="23"/>
    </row>
    <row r="735" spans="1:1" ht="15.75" customHeight="1">
      <c r="A735" s="23"/>
    </row>
    <row r="736" spans="1:1" ht="15.75" customHeight="1">
      <c r="A736" s="23"/>
    </row>
    <row r="737" spans="1:1" ht="15.75" customHeight="1">
      <c r="A737" s="23"/>
    </row>
    <row r="738" spans="1:1" ht="15.75" customHeight="1">
      <c r="A738" s="23"/>
    </row>
    <row r="739" spans="1:1" ht="15.75" customHeight="1">
      <c r="A739" s="23"/>
    </row>
    <row r="740" spans="1:1" ht="15.75" customHeight="1">
      <c r="A740" s="23"/>
    </row>
    <row r="741" spans="1:1" ht="15.75" customHeight="1">
      <c r="A741" s="23"/>
    </row>
    <row r="742" spans="1:1" ht="15.75" customHeight="1">
      <c r="A742" s="23"/>
    </row>
    <row r="743" spans="1:1" ht="15.75" customHeight="1">
      <c r="A743" s="23"/>
    </row>
    <row r="744" spans="1:1" ht="15.75" customHeight="1">
      <c r="A744" s="23"/>
    </row>
    <row r="745" spans="1:1" ht="15.75" customHeight="1">
      <c r="A745" s="23"/>
    </row>
    <row r="746" spans="1:1" ht="15.75" customHeight="1">
      <c r="A746" s="23"/>
    </row>
    <row r="747" spans="1:1" ht="15.75" customHeight="1">
      <c r="A747" s="23"/>
    </row>
    <row r="748" spans="1:1" ht="15.75" customHeight="1">
      <c r="A748" s="23"/>
    </row>
    <row r="749" spans="1:1" ht="15.75" customHeight="1">
      <c r="A749" s="23"/>
    </row>
    <row r="750" spans="1:1" ht="15.75" customHeight="1">
      <c r="A750" s="23"/>
    </row>
    <row r="751" spans="1:1" ht="15.75" customHeight="1">
      <c r="A751" s="23"/>
    </row>
    <row r="752" spans="1:1" ht="15.75" customHeight="1">
      <c r="A752" s="23"/>
    </row>
    <row r="753" spans="1:1" ht="15.75" customHeight="1">
      <c r="A753" s="23"/>
    </row>
    <row r="754" spans="1:1" ht="15.75" customHeight="1">
      <c r="A754" s="23"/>
    </row>
    <row r="755" spans="1:1" ht="15.75" customHeight="1">
      <c r="A755" s="23"/>
    </row>
    <row r="756" spans="1:1" ht="15.75" customHeight="1">
      <c r="A756" s="23"/>
    </row>
    <row r="757" spans="1:1" ht="15.75" customHeight="1">
      <c r="A757" s="23"/>
    </row>
    <row r="758" spans="1:1" ht="15.75" customHeight="1">
      <c r="A758" s="23"/>
    </row>
    <row r="759" spans="1:1" ht="15.75" customHeight="1">
      <c r="A759" s="23"/>
    </row>
    <row r="760" spans="1:1" ht="15.75" customHeight="1">
      <c r="A760" s="23"/>
    </row>
    <row r="761" spans="1:1" ht="15.75" customHeight="1">
      <c r="A761" s="23"/>
    </row>
    <row r="762" spans="1:1" ht="15.75" customHeight="1">
      <c r="A762" s="23"/>
    </row>
    <row r="763" spans="1:1" ht="15.75" customHeight="1">
      <c r="A763" s="23"/>
    </row>
    <row r="764" spans="1:1" ht="15.75" customHeight="1">
      <c r="A764" s="23"/>
    </row>
    <row r="765" spans="1:1" ht="15.75" customHeight="1">
      <c r="A765" s="23"/>
    </row>
    <row r="766" spans="1:1" ht="15.75" customHeight="1">
      <c r="A766" s="23"/>
    </row>
    <row r="767" spans="1:1" ht="15.75" customHeight="1">
      <c r="A767" s="23"/>
    </row>
    <row r="768" spans="1:1" ht="15.75" customHeight="1">
      <c r="A768" s="23"/>
    </row>
    <row r="769" spans="1:1" ht="15.75" customHeight="1">
      <c r="A769" s="23"/>
    </row>
    <row r="770" spans="1:1" ht="15.75" customHeight="1">
      <c r="A770" s="23"/>
    </row>
    <row r="771" spans="1:1" ht="15.75" customHeight="1">
      <c r="A771" s="23"/>
    </row>
    <row r="772" spans="1:1" ht="15.75" customHeight="1">
      <c r="A772" s="23"/>
    </row>
    <row r="773" spans="1:1" ht="15.75" customHeight="1">
      <c r="A773" s="23"/>
    </row>
    <row r="774" spans="1:1" ht="15.75" customHeight="1">
      <c r="A774" s="23"/>
    </row>
    <row r="775" spans="1:1" ht="15.75" customHeight="1">
      <c r="A775" s="23"/>
    </row>
    <row r="776" spans="1:1" ht="15.75" customHeight="1">
      <c r="A776" s="23"/>
    </row>
    <row r="777" spans="1:1" ht="15.75" customHeight="1">
      <c r="A777" s="23"/>
    </row>
    <row r="778" spans="1:1" ht="15.75" customHeight="1">
      <c r="A778" s="23"/>
    </row>
    <row r="779" spans="1:1" ht="15.75" customHeight="1">
      <c r="A779" s="23"/>
    </row>
    <row r="780" spans="1:1" ht="15.75" customHeight="1">
      <c r="A780" s="23"/>
    </row>
    <row r="781" spans="1:1" ht="15.75" customHeight="1">
      <c r="A781" s="23"/>
    </row>
    <row r="782" spans="1:1" ht="15.75" customHeight="1">
      <c r="A782" s="23"/>
    </row>
    <row r="783" spans="1:1" ht="15.75" customHeight="1">
      <c r="A783" s="23"/>
    </row>
    <row r="784" spans="1:1" ht="15.75" customHeight="1">
      <c r="A784" s="23"/>
    </row>
    <row r="785" spans="1:1" ht="15.75" customHeight="1">
      <c r="A785" s="23"/>
    </row>
    <row r="786" spans="1:1" ht="15.75" customHeight="1">
      <c r="A786" s="23"/>
    </row>
    <row r="787" spans="1:1" ht="15.75" customHeight="1">
      <c r="A787" s="23"/>
    </row>
    <row r="788" spans="1:1" ht="15.75" customHeight="1">
      <c r="A788" s="23"/>
    </row>
    <row r="789" spans="1:1" ht="15.75" customHeight="1">
      <c r="A789" s="23"/>
    </row>
    <row r="790" spans="1:1" ht="15.75" customHeight="1">
      <c r="A790" s="23"/>
    </row>
    <row r="791" spans="1:1" ht="15.75" customHeight="1">
      <c r="A791" s="23"/>
    </row>
    <row r="792" spans="1:1" ht="15.75" customHeight="1">
      <c r="A792" s="23"/>
    </row>
    <row r="793" spans="1:1" ht="15.75" customHeight="1">
      <c r="A793" s="23"/>
    </row>
    <row r="794" spans="1:1" ht="15.75" customHeight="1">
      <c r="A794" s="23"/>
    </row>
    <row r="795" spans="1:1" ht="15.75" customHeight="1">
      <c r="A795" s="23"/>
    </row>
    <row r="796" spans="1:1" ht="15.75" customHeight="1">
      <c r="A796" s="23"/>
    </row>
    <row r="797" spans="1:1" ht="15.75" customHeight="1">
      <c r="A797" s="23"/>
    </row>
    <row r="798" spans="1:1" ht="15.75" customHeight="1">
      <c r="A798" s="23"/>
    </row>
    <row r="799" spans="1:1" ht="15.75" customHeight="1">
      <c r="A799" s="23"/>
    </row>
    <row r="800" spans="1:1" ht="15.75" customHeight="1">
      <c r="A800" s="23"/>
    </row>
    <row r="801" spans="1:1" ht="15.75" customHeight="1">
      <c r="A801" s="23"/>
    </row>
    <row r="802" spans="1:1" ht="15.75" customHeight="1">
      <c r="A802" s="23"/>
    </row>
    <row r="803" spans="1:1" ht="15.75" customHeight="1">
      <c r="A803" s="23"/>
    </row>
    <row r="804" spans="1:1" ht="15.75" customHeight="1">
      <c r="A804" s="23"/>
    </row>
    <row r="805" spans="1:1" ht="15.75" customHeight="1">
      <c r="A805" s="23"/>
    </row>
    <row r="806" spans="1:1" ht="15.75" customHeight="1">
      <c r="A806" s="23"/>
    </row>
    <row r="807" spans="1:1" ht="15.75" customHeight="1">
      <c r="A807" s="23"/>
    </row>
    <row r="808" spans="1:1" ht="15.75" customHeight="1">
      <c r="A808" s="23"/>
    </row>
    <row r="809" spans="1:1" ht="15.75" customHeight="1">
      <c r="A809" s="23"/>
    </row>
    <row r="810" spans="1:1" ht="15.75" customHeight="1">
      <c r="A810" s="23"/>
    </row>
    <row r="811" spans="1:1" ht="15.75" customHeight="1">
      <c r="A811" s="23"/>
    </row>
    <row r="812" spans="1:1" ht="15.75" customHeight="1">
      <c r="A812" s="23"/>
    </row>
    <row r="813" spans="1:1" ht="15.75" customHeight="1">
      <c r="A813" s="23"/>
    </row>
    <row r="814" spans="1:1" ht="15.75" customHeight="1">
      <c r="A814" s="23"/>
    </row>
    <row r="815" spans="1:1" ht="15.75" customHeight="1">
      <c r="A815" s="23"/>
    </row>
    <row r="816" spans="1:1" ht="15.75" customHeight="1">
      <c r="A816" s="23"/>
    </row>
    <row r="817" spans="1:1" ht="15.75" customHeight="1">
      <c r="A817" s="23"/>
    </row>
    <row r="818" spans="1:1" ht="15.75" customHeight="1">
      <c r="A818" s="23"/>
    </row>
    <row r="819" spans="1:1" ht="15.75" customHeight="1">
      <c r="A819" s="23"/>
    </row>
    <row r="820" spans="1:1" ht="15.75" customHeight="1">
      <c r="A820" s="23"/>
    </row>
    <row r="821" spans="1:1" ht="15.75" customHeight="1">
      <c r="A821" s="23"/>
    </row>
    <row r="822" spans="1:1" ht="15.75" customHeight="1">
      <c r="A822" s="23"/>
    </row>
    <row r="823" spans="1:1" ht="15.75" customHeight="1">
      <c r="A823" s="23"/>
    </row>
    <row r="824" spans="1:1" ht="15.75" customHeight="1">
      <c r="A824" s="23"/>
    </row>
    <row r="825" spans="1:1" ht="15.75" customHeight="1">
      <c r="A825" s="23"/>
    </row>
    <row r="826" spans="1:1" ht="15.75" customHeight="1">
      <c r="A826" s="23"/>
    </row>
    <row r="827" spans="1:1" ht="15.75" customHeight="1">
      <c r="A827" s="23"/>
    </row>
    <row r="828" spans="1:1" ht="15.75" customHeight="1">
      <c r="A828" s="23"/>
    </row>
    <row r="829" spans="1:1" ht="15.75" customHeight="1">
      <c r="A829" s="23"/>
    </row>
    <row r="830" spans="1:1" ht="15.75" customHeight="1">
      <c r="A830" s="23"/>
    </row>
    <row r="831" spans="1:1" ht="15.75" customHeight="1">
      <c r="A831" s="23"/>
    </row>
    <row r="832" spans="1:1" ht="15.75" customHeight="1">
      <c r="A832" s="23"/>
    </row>
    <row r="833" spans="1:1" ht="15.75" customHeight="1">
      <c r="A833" s="23"/>
    </row>
    <row r="834" spans="1:1" ht="15.75" customHeight="1">
      <c r="A834" s="23"/>
    </row>
    <row r="835" spans="1:1" ht="15.75" customHeight="1">
      <c r="A835" s="23"/>
    </row>
    <row r="836" spans="1:1" ht="15.75" customHeight="1">
      <c r="A836" s="23"/>
    </row>
    <row r="837" spans="1:1" ht="15.75" customHeight="1">
      <c r="A837" s="23"/>
    </row>
    <row r="838" spans="1:1" ht="15.75" customHeight="1">
      <c r="A838" s="23"/>
    </row>
    <row r="839" spans="1:1" ht="15.75" customHeight="1">
      <c r="A839" s="23"/>
    </row>
    <row r="840" spans="1:1" ht="15.75" customHeight="1">
      <c r="A840" s="23"/>
    </row>
    <row r="841" spans="1:1" ht="15.75" customHeight="1">
      <c r="A841" s="23"/>
    </row>
    <row r="842" spans="1:1" ht="15.75" customHeight="1">
      <c r="A842" s="23"/>
    </row>
    <row r="843" spans="1:1" ht="15.75" customHeight="1">
      <c r="A843" s="23"/>
    </row>
    <row r="844" spans="1:1" ht="15.75" customHeight="1">
      <c r="A844" s="23"/>
    </row>
    <row r="845" spans="1:1" ht="15.75" customHeight="1">
      <c r="A845" s="23"/>
    </row>
    <row r="846" spans="1:1" ht="15.75" customHeight="1">
      <c r="A846" s="23"/>
    </row>
    <row r="847" spans="1:1" ht="15.75" customHeight="1">
      <c r="A847" s="23"/>
    </row>
    <row r="848" spans="1:1" ht="15.75" customHeight="1">
      <c r="A848" s="23"/>
    </row>
    <row r="849" spans="1:1" ht="15.75" customHeight="1">
      <c r="A849" s="23"/>
    </row>
    <row r="850" spans="1:1" ht="15.75" customHeight="1">
      <c r="A850" s="23"/>
    </row>
    <row r="851" spans="1:1" ht="15.75" customHeight="1">
      <c r="A851" s="23"/>
    </row>
    <row r="852" spans="1:1" ht="15.75" customHeight="1">
      <c r="A852" s="23"/>
    </row>
    <row r="853" spans="1:1" ht="15.75" customHeight="1">
      <c r="A853" s="23"/>
    </row>
    <row r="854" spans="1:1" ht="15.75" customHeight="1">
      <c r="A854" s="23"/>
    </row>
    <row r="855" spans="1:1" ht="15.75" customHeight="1">
      <c r="A855" s="23"/>
    </row>
    <row r="856" spans="1:1" ht="15.75" customHeight="1">
      <c r="A856" s="23"/>
    </row>
    <row r="857" spans="1:1" ht="15.75" customHeight="1">
      <c r="A857" s="23"/>
    </row>
    <row r="858" spans="1:1" ht="15.75" customHeight="1">
      <c r="A858" s="23"/>
    </row>
    <row r="859" spans="1:1" ht="15.75" customHeight="1">
      <c r="A859" s="23"/>
    </row>
    <row r="860" spans="1:1" ht="15.75" customHeight="1">
      <c r="A860" s="23"/>
    </row>
    <row r="861" spans="1:1" ht="15.75" customHeight="1">
      <c r="A861" s="23"/>
    </row>
    <row r="862" spans="1:1" ht="15.75" customHeight="1">
      <c r="A862" s="23"/>
    </row>
    <row r="863" spans="1:1" ht="15.75" customHeight="1">
      <c r="A863" s="23"/>
    </row>
    <row r="864" spans="1:1" ht="15.75" customHeight="1">
      <c r="A864" s="23"/>
    </row>
    <row r="865" spans="1:1" ht="15.75" customHeight="1">
      <c r="A865" s="23"/>
    </row>
    <row r="866" spans="1:1" ht="15.75" customHeight="1">
      <c r="A866" s="23"/>
    </row>
    <row r="867" spans="1:1" ht="15.75" customHeight="1">
      <c r="A867" s="23"/>
    </row>
    <row r="868" spans="1:1" ht="15.75" customHeight="1">
      <c r="A868" s="23"/>
    </row>
    <row r="869" spans="1:1" ht="15.75" customHeight="1">
      <c r="A869" s="23"/>
    </row>
    <row r="870" spans="1:1" ht="15.75" customHeight="1">
      <c r="A870" s="23"/>
    </row>
    <row r="871" spans="1:1" ht="15.75" customHeight="1">
      <c r="A871" s="23"/>
    </row>
    <row r="872" spans="1:1" ht="15.75" customHeight="1">
      <c r="A872" s="23"/>
    </row>
    <row r="873" spans="1:1" ht="15.75" customHeight="1">
      <c r="A873" s="23"/>
    </row>
    <row r="874" spans="1:1" ht="15.75" customHeight="1">
      <c r="A874" s="23"/>
    </row>
    <row r="875" spans="1:1" ht="15.75" customHeight="1">
      <c r="A875" s="23"/>
    </row>
    <row r="876" spans="1:1" ht="15.75" customHeight="1">
      <c r="A876" s="23"/>
    </row>
    <row r="877" spans="1:1" ht="15.75" customHeight="1">
      <c r="A877" s="23"/>
    </row>
    <row r="878" spans="1:1" ht="15.75" customHeight="1">
      <c r="A878" s="23"/>
    </row>
    <row r="879" spans="1:1" ht="15.75" customHeight="1">
      <c r="A879" s="23"/>
    </row>
    <row r="880" spans="1:1" ht="15.75" customHeight="1">
      <c r="A880" s="23"/>
    </row>
    <row r="881" spans="1:1" ht="15.75" customHeight="1">
      <c r="A881" s="23"/>
    </row>
    <row r="882" spans="1:1" ht="15.75" customHeight="1">
      <c r="A882" s="23"/>
    </row>
    <row r="883" spans="1:1" ht="15.75" customHeight="1">
      <c r="A883" s="23"/>
    </row>
    <row r="884" spans="1:1" ht="15.75" customHeight="1">
      <c r="A884" s="23"/>
    </row>
    <row r="885" spans="1:1" ht="15.75" customHeight="1">
      <c r="A885" s="23"/>
    </row>
    <row r="886" spans="1:1" ht="15.75" customHeight="1">
      <c r="A886" s="23"/>
    </row>
    <row r="887" spans="1:1" ht="15.75" customHeight="1">
      <c r="A887" s="23"/>
    </row>
    <row r="888" spans="1:1" ht="15.75" customHeight="1">
      <c r="A888" s="23"/>
    </row>
    <row r="889" spans="1:1" ht="15.75" customHeight="1">
      <c r="A889" s="23"/>
    </row>
    <row r="890" spans="1:1" ht="15.75" customHeight="1">
      <c r="A890" s="23"/>
    </row>
    <row r="891" spans="1:1" ht="15.75" customHeight="1">
      <c r="A891" s="23"/>
    </row>
    <row r="892" spans="1:1" ht="15.75" customHeight="1">
      <c r="A892" s="23"/>
    </row>
    <row r="893" spans="1:1" ht="15.75" customHeight="1">
      <c r="A893" s="23"/>
    </row>
    <row r="894" spans="1:1" ht="15.75" customHeight="1">
      <c r="A894" s="23"/>
    </row>
    <row r="895" spans="1:1" ht="15.75" customHeight="1">
      <c r="A895" s="23"/>
    </row>
    <row r="896" spans="1:1" ht="15.75" customHeight="1">
      <c r="A896" s="23"/>
    </row>
    <row r="897" spans="1:1" ht="15.75" customHeight="1">
      <c r="A897" s="23"/>
    </row>
    <row r="898" spans="1:1" ht="15.75" customHeight="1">
      <c r="A898" s="23"/>
    </row>
    <row r="899" spans="1:1" ht="15.75" customHeight="1">
      <c r="A899" s="23"/>
    </row>
    <row r="900" spans="1:1" ht="15.75" customHeight="1">
      <c r="A900" s="23"/>
    </row>
    <row r="901" spans="1:1" ht="15.75" customHeight="1">
      <c r="A901" s="23"/>
    </row>
    <row r="902" spans="1:1" ht="15.75" customHeight="1">
      <c r="A902" s="23"/>
    </row>
    <row r="903" spans="1:1" ht="15.75" customHeight="1">
      <c r="A903" s="23"/>
    </row>
    <row r="904" spans="1:1" ht="15.75" customHeight="1">
      <c r="A904" s="23"/>
    </row>
    <row r="905" spans="1:1" ht="15.75" customHeight="1">
      <c r="A905" s="23"/>
    </row>
    <row r="906" spans="1:1" ht="15.75" customHeight="1">
      <c r="A906" s="23"/>
    </row>
    <row r="907" spans="1:1" ht="15.75" customHeight="1">
      <c r="A907" s="23"/>
    </row>
    <row r="908" spans="1:1" ht="15.75" customHeight="1">
      <c r="A908" s="23"/>
    </row>
    <row r="909" spans="1:1" ht="15.75" customHeight="1">
      <c r="A909" s="23"/>
    </row>
    <row r="910" spans="1:1" ht="15.75" customHeight="1">
      <c r="A910" s="23"/>
    </row>
    <row r="911" spans="1:1" ht="15.75" customHeight="1">
      <c r="A911" s="23"/>
    </row>
    <row r="912" spans="1:1" ht="15.75" customHeight="1">
      <c r="A912" s="23"/>
    </row>
    <row r="913" spans="1:1" ht="15.75" customHeight="1">
      <c r="A913" s="23"/>
    </row>
    <row r="914" spans="1:1" ht="15.75" customHeight="1">
      <c r="A914" s="23"/>
    </row>
    <row r="915" spans="1:1" ht="15.75" customHeight="1">
      <c r="A915" s="23"/>
    </row>
    <row r="916" spans="1:1" ht="15.75" customHeight="1">
      <c r="A916" s="23"/>
    </row>
    <row r="917" spans="1:1" ht="15.75" customHeight="1">
      <c r="A917" s="23"/>
    </row>
    <row r="918" spans="1:1" ht="15.75" customHeight="1">
      <c r="A918" s="23"/>
    </row>
    <row r="919" spans="1:1" ht="15.75" customHeight="1">
      <c r="A919" s="23"/>
    </row>
    <row r="920" spans="1:1" ht="15.75" customHeight="1">
      <c r="A920" s="23"/>
    </row>
    <row r="921" spans="1:1" ht="15.75" customHeight="1">
      <c r="A921" s="23"/>
    </row>
    <row r="922" spans="1:1" ht="15.75" customHeight="1">
      <c r="A922" s="23"/>
    </row>
    <row r="923" spans="1:1" ht="15.75" customHeight="1">
      <c r="A923" s="23"/>
    </row>
    <row r="924" spans="1:1" ht="15.75" customHeight="1">
      <c r="A924" s="23"/>
    </row>
    <row r="925" spans="1:1" ht="15.75" customHeight="1">
      <c r="A925" s="23"/>
    </row>
    <row r="926" spans="1:1" ht="15.75" customHeight="1">
      <c r="A926" s="23"/>
    </row>
    <row r="927" spans="1:1" ht="15.75" customHeight="1">
      <c r="A927" s="23"/>
    </row>
    <row r="928" spans="1:1" ht="15.75" customHeight="1">
      <c r="A928" s="23"/>
    </row>
    <row r="929" spans="1:1" ht="15.75" customHeight="1">
      <c r="A929" s="23"/>
    </row>
    <row r="930" spans="1:1" ht="15.75" customHeight="1">
      <c r="A930" s="23"/>
    </row>
    <row r="931" spans="1:1" ht="15.75" customHeight="1">
      <c r="A931" s="23"/>
    </row>
    <row r="932" spans="1:1" ht="15.75" customHeight="1">
      <c r="A932" s="23"/>
    </row>
    <row r="933" spans="1:1" ht="15.75" customHeight="1">
      <c r="A933" s="23"/>
    </row>
    <row r="934" spans="1:1" ht="15.75" customHeight="1">
      <c r="A934" s="23"/>
    </row>
    <row r="935" spans="1:1" ht="15.75" customHeight="1">
      <c r="A935" s="23"/>
    </row>
    <row r="936" spans="1:1" ht="15.75" customHeight="1">
      <c r="A936" s="23"/>
    </row>
    <row r="937" spans="1:1" ht="15.75" customHeight="1">
      <c r="A937" s="23"/>
    </row>
    <row r="938" spans="1:1" ht="15.75" customHeight="1">
      <c r="A938" s="23"/>
    </row>
    <row r="939" spans="1:1" ht="15.75" customHeight="1">
      <c r="A939" s="23"/>
    </row>
    <row r="940" spans="1:1" ht="15.75" customHeight="1">
      <c r="A940" s="23"/>
    </row>
    <row r="941" spans="1:1" ht="15.75" customHeight="1">
      <c r="A941" s="23"/>
    </row>
    <row r="942" spans="1:1" ht="15.75" customHeight="1">
      <c r="A942" s="23"/>
    </row>
    <row r="943" spans="1:1" ht="15.75" customHeight="1">
      <c r="A943" s="23"/>
    </row>
    <row r="944" spans="1:1" ht="15.75" customHeight="1">
      <c r="A944" s="23"/>
    </row>
    <row r="945" spans="1:1" ht="15.75" customHeight="1">
      <c r="A945" s="23"/>
    </row>
    <row r="946" spans="1:1" ht="15.75" customHeight="1">
      <c r="A946" s="23"/>
    </row>
    <row r="947" spans="1:1" ht="15.75" customHeight="1">
      <c r="A947" s="23"/>
    </row>
    <row r="948" spans="1:1" ht="15.75" customHeight="1">
      <c r="A948" s="23"/>
    </row>
    <row r="949" spans="1:1" ht="15.75" customHeight="1">
      <c r="A949" s="23"/>
    </row>
    <row r="950" spans="1:1" ht="15.75" customHeight="1">
      <c r="A950" s="23"/>
    </row>
    <row r="951" spans="1:1" ht="15.75" customHeight="1">
      <c r="A951" s="23"/>
    </row>
    <row r="952" spans="1:1" ht="15.75" customHeight="1">
      <c r="A952" s="23"/>
    </row>
    <row r="953" spans="1:1" ht="15.75" customHeight="1">
      <c r="A953" s="23"/>
    </row>
    <row r="954" spans="1:1" ht="15.75" customHeight="1">
      <c r="A954" s="23"/>
    </row>
    <row r="955" spans="1:1" ht="15.75" customHeight="1">
      <c r="A955" s="23"/>
    </row>
    <row r="956" spans="1:1" ht="15.75" customHeight="1">
      <c r="A956" s="23"/>
    </row>
    <row r="957" spans="1:1" ht="15.75" customHeight="1">
      <c r="A957" s="23"/>
    </row>
    <row r="958" spans="1:1" ht="15.75" customHeight="1">
      <c r="A958" s="23"/>
    </row>
    <row r="959" spans="1:1" ht="15.75" customHeight="1">
      <c r="A959" s="23"/>
    </row>
    <row r="960" spans="1:1" ht="15.75" customHeight="1">
      <c r="A960" s="23"/>
    </row>
    <row r="961" spans="1:1" ht="15.75" customHeight="1">
      <c r="A961" s="23"/>
    </row>
    <row r="962" spans="1:1" ht="15.75" customHeight="1">
      <c r="A962" s="23"/>
    </row>
    <row r="963" spans="1:1" ht="15.75" customHeight="1">
      <c r="A963" s="23"/>
    </row>
    <row r="964" spans="1:1" ht="15.75" customHeight="1">
      <c r="A964" s="23"/>
    </row>
    <row r="965" spans="1:1" ht="15.75" customHeight="1">
      <c r="A965" s="23"/>
    </row>
    <row r="966" spans="1:1" ht="15.75" customHeight="1">
      <c r="A966" s="23"/>
    </row>
    <row r="967" spans="1:1" ht="15.75" customHeight="1">
      <c r="A967" s="23"/>
    </row>
    <row r="968" spans="1:1" ht="15.75" customHeight="1">
      <c r="A968" s="23"/>
    </row>
    <row r="969" spans="1:1" ht="15.75" customHeight="1">
      <c r="A969" s="23"/>
    </row>
    <row r="970" spans="1:1" ht="15.75" customHeight="1">
      <c r="A970" s="23"/>
    </row>
    <row r="971" spans="1:1" ht="15.75" customHeight="1">
      <c r="A971" s="23"/>
    </row>
    <row r="972" spans="1:1" ht="15.75" customHeight="1">
      <c r="A972" s="23"/>
    </row>
    <row r="973" spans="1:1" ht="15.75" customHeight="1">
      <c r="A973" s="23"/>
    </row>
    <row r="974" spans="1:1" ht="15.75" customHeight="1">
      <c r="A974" s="23"/>
    </row>
    <row r="975" spans="1:1" ht="15.75" customHeight="1">
      <c r="A975" s="23"/>
    </row>
    <row r="976" spans="1:1" ht="15.75" customHeight="1">
      <c r="A976" s="23"/>
    </row>
    <row r="977" spans="1:1" ht="15.75" customHeight="1">
      <c r="A977" s="23"/>
    </row>
    <row r="978" spans="1:1" ht="15.75" customHeight="1">
      <c r="A978" s="23"/>
    </row>
    <row r="979" spans="1:1" ht="15.75" customHeight="1">
      <c r="A979" s="23"/>
    </row>
    <row r="980" spans="1:1" ht="15.75" customHeight="1">
      <c r="A980" s="23"/>
    </row>
    <row r="981" spans="1:1" ht="15.75" customHeight="1">
      <c r="A981" s="23"/>
    </row>
    <row r="982" spans="1:1" ht="15.75" customHeight="1">
      <c r="A982" s="23"/>
    </row>
    <row r="983" spans="1:1" ht="15.75" customHeight="1">
      <c r="A983" s="23"/>
    </row>
    <row r="984" spans="1:1" ht="15.75" customHeight="1">
      <c r="A984" s="23"/>
    </row>
    <row r="985" spans="1:1" ht="15.75" customHeight="1">
      <c r="A985" s="23"/>
    </row>
    <row r="986" spans="1:1" ht="15.75" customHeight="1">
      <c r="A986" s="23"/>
    </row>
    <row r="987" spans="1:1" ht="15.75" customHeight="1">
      <c r="A987" s="23"/>
    </row>
    <row r="988" spans="1:1" ht="15.75" customHeight="1">
      <c r="A988" s="23"/>
    </row>
    <row r="989" spans="1:1" ht="15.75" customHeight="1">
      <c r="A989" s="23"/>
    </row>
    <row r="990" spans="1:1" ht="15.75" customHeight="1">
      <c r="A990" s="23"/>
    </row>
    <row r="991" spans="1:1" ht="15.75" customHeight="1">
      <c r="A991" s="23"/>
    </row>
    <row r="992" spans="1:1" ht="15.75" customHeight="1">
      <c r="A992" s="23"/>
    </row>
    <row r="993" spans="1:1" ht="15.75" customHeight="1">
      <c r="A993" s="23"/>
    </row>
    <row r="994" spans="1:1" ht="15.75" customHeight="1">
      <c r="A994" s="23"/>
    </row>
    <row r="995" spans="1:1" ht="15.75" customHeight="1">
      <c r="A995" s="23"/>
    </row>
    <row r="996" spans="1:1" ht="15.75" customHeight="1">
      <c r="A996" s="23"/>
    </row>
    <row r="997" spans="1:1" ht="15.75" customHeight="1">
      <c r="A997" s="23"/>
    </row>
    <row r="998" spans="1:1" ht="15.75" customHeight="1">
      <c r="A998" s="23"/>
    </row>
    <row r="999" spans="1:1" ht="15.75" customHeight="1">
      <c r="A999" s="23"/>
    </row>
    <row r="1000" spans="1:1" ht="15.75" customHeight="1">
      <c r="A1000" s="23"/>
    </row>
  </sheetData>
  <mergeCells count="3">
    <mergeCell ref="A1:C1"/>
    <mergeCell ref="A2:C2"/>
    <mergeCell ref="A19:C19"/>
  </mergeCells>
  <pageMargins left="0.7" right="0.7" top="0.75" bottom="0.75" header="0" footer="0"/>
  <pageSetup orientation="landscape"/>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08466ca2-8b28-4523-8217-07e40a4d6304">
      <Terms xmlns="http://schemas.microsoft.com/office/infopath/2007/PartnerControls"/>
    </lcf76f155ced4ddcb4097134ff3c332f>
    <TaxCatchAll xmlns="725e1220-d62d-4a2f-854b-da8a97a140cc"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D3A186FFF3A71D45928FCFB01543480E" ma:contentTypeVersion="15" ma:contentTypeDescription="Crear nuevo documento." ma:contentTypeScope="" ma:versionID="a7bc0f490a84586d8d094633253f525e">
  <xsd:schema xmlns:xsd="http://www.w3.org/2001/XMLSchema" xmlns:xs="http://www.w3.org/2001/XMLSchema" xmlns:p="http://schemas.microsoft.com/office/2006/metadata/properties" xmlns:ns2="08466ca2-8b28-4523-8217-07e40a4d6304" xmlns:ns3="725e1220-d62d-4a2f-854b-da8a97a140cc" targetNamespace="http://schemas.microsoft.com/office/2006/metadata/properties" ma:root="true" ma:fieldsID="24201cd12d29b63b4e5e666700ba274a" ns2:_="" ns3:_="">
    <xsd:import namespace="08466ca2-8b28-4523-8217-07e40a4d6304"/>
    <xsd:import namespace="725e1220-d62d-4a2f-854b-da8a97a140cc"/>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2:MediaServiceLocation" minOccurs="0"/>
                <xsd:element ref="ns2:MediaServiceOCR"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8466ca2-8b28-4523-8217-07e40a4d6304"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LengthInSeconds" ma:index="13" nillable="true" ma:displayName="MediaLengthInSeconds" ma:hidden="true" ma:internalName="MediaLengthInSeconds" ma:readOnly="true">
      <xsd:simpleType>
        <xsd:restriction base="dms:Unknown"/>
      </xsd:simpleType>
    </xsd:element>
    <xsd:element name="lcf76f155ced4ddcb4097134ff3c332f" ma:index="15" nillable="true" ma:taxonomy="true" ma:internalName="lcf76f155ced4ddcb4097134ff3c332f" ma:taxonomyFieldName="MediaServiceImageTags" ma:displayName="Etiquetas de imagen" ma:readOnly="false" ma:fieldId="{5cf76f15-5ced-4ddc-b409-7134ff3c332f}" ma:taxonomyMulti="true" ma:sspId="9739b053-e51d-46d2-8387-626c6d0bca37" ma:termSetId="09814cd3-568e-fe90-9814-8d621ff8fb84" ma:anchorId="fba54fb3-c3e1-fe81-a776-ca4b69148c4d" ma:open="true" ma:isKeyword="false">
      <xsd:complexType>
        <xsd:sequence>
          <xsd:element ref="pc:Terms" minOccurs="0" maxOccurs="1"/>
        </xsd:sequence>
      </xsd:complex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ServiceLocation" ma:index="19" nillable="true" ma:displayName="Location" ma:indexed="true" ma:internalName="MediaServiceLocatio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25e1220-d62d-4a2f-854b-da8a97a140cc"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6" nillable="true" ma:displayName="Taxonomy Catch All Column" ma:hidden="true" ma:list="{62cdc431-3f8e-4ce4-b550-77457bb5666e}" ma:internalName="TaxCatchAll" ma:showField="CatchAllData" ma:web="725e1220-d62d-4a2f-854b-da8a97a140c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250C354-60C4-4FC9-8E89-AEDDB8B015BA}"/>
</file>

<file path=customXml/itemProps2.xml><?xml version="1.0" encoding="utf-8"?>
<ds:datastoreItem xmlns:ds="http://schemas.openxmlformats.org/officeDocument/2006/customXml" ds:itemID="{DAFE71E3-1947-4043-B0FB-06E38B5D7102}"/>
</file>

<file path=customXml/itemProps3.xml><?xml version="1.0" encoding="utf-8"?>
<ds:datastoreItem xmlns:ds="http://schemas.openxmlformats.org/officeDocument/2006/customXml" ds:itemID="{BF60891D-277D-48CA-B464-0671CB3E3CD3}"/>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zhangyun</dc:creator>
  <cp:keywords/>
  <dc:description/>
  <cp:lastModifiedBy>Tecnicos  Electronicos</cp:lastModifiedBy>
  <cp:revision/>
  <dcterms:created xsi:type="dcterms:W3CDTF">2020-07-21T06:06:59Z</dcterms:created>
  <dcterms:modified xsi:type="dcterms:W3CDTF">2023-04-28T11:22:01Z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2052-11.1.0.10938</vt:lpwstr>
  </property>
  <property fmtid="{D5CDD505-2E9C-101B-9397-08002B2CF9AE}" pid="3" name="ICV">
    <vt:lpwstr>25E61E17F2D844068C0AC541047452EC</vt:lpwstr>
  </property>
  <property fmtid="{D5CDD505-2E9C-101B-9397-08002B2CF9AE}" pid="4" name="ContentTypeId">
    <vt:lpwstr>0x010100D3A186FFF3A71D45928FCFB01543480E</vt:lpwstr>
  </property>
  <property fmtid="{D5CDD505-2E9C-101B-9397-08002B2CF9AE}" pid="5" name="MediaServiceImageTags">
    <vt:lpwstr/>
  </property>
</Properties>
</file>